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Supuestos" sheetId="2" state="visible" r:id="rId4"/>
    <sheet name="Presupuesto" sheetId="3" state="visible" r:id="rId5"/>
    <sheet name="EEFF Promotor" sheetId="4" state="visible" r:id="rId6"/>
    <sheet name="Proyección Base" sheetId="5" state="visible" r:id="rId7"/>
    <sheet name="Proyección Mes 20" sheetId="6" state="visible" r:id="rId8"/>
    <sheet name="Escenarios" sheetId="7" state="visible" r:id="rId9"/>
    <sheet name="Covenant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<sst xmlns="http://schemas.openxmlformats.org/spreadsheetml/2006/main" count="321" uniqueCount="221">
  <si>
    <t xml:space="preserve">Caso Grupo Altavista S.A.S. — Proyecto Ciudadela del Norte</t>
  </si>
  <si>
    <t xml:space="preserve">Material docente del Programa Ejecutivo CESA · Credicorp Capital · Negocios Fiduciarios</t>
  </si>
  <si>
    <t xml:space="preserve">Qué contiene este archivo</t>
  </si>
  <si>
    <t xml:space="preserve">Supuestos</t>
  </si>
  <si>
    <t xml:space="preserve">Todos los datos de entrada del caso. Columna B: escenario original. Columna C: situación al mes 20.</t>
  </si>
  <si>
    <t xml:space="preserve">Presupuesto</t>
  </si>
  <si>
    <t xml:space="preserve">Presupuesto del proyecto, fuentes y usos de recursos.</t>
  </si>
  <si>
    <t xml:space="preserve">EEFF Promotor</t>
  </si>
  <si>
    <t xml:space="preserve">Estados financieros de Grupo Altavista S.A.S. de los tres años previos a la solicitud.</t>
  </si>
  <si>
    <t xml:space="preserve">Proyección Base</t>
  </si>
  <si>
    <t xml:space="preserve">Proyección semestral con la que se estructuró el negocio (Sesión 2).</t>
  </si>
  <si>
    <t xml:space="preserve">Proyección Mes 20</t>
  </si>
  <si>
    <t xml:space="preserve">La misma proyección, con los supuestos deteriorados (Sesiones 3 y 4).</t>
  </si>
  <si>
    <t xml:space="preserve">Escenarios</t>
  </si>
  <si>
    <t xml:space="preserve">Comparación base / adverso / favorable para el ejercicio de la Sesión 3.</t>
  </si>
  <si>
    <t xml:space="preserve">Covenants</t>
  </si>
  <si>
    <t xml:space="preserve">Tablero de cumplimiento de las condiciones pactadas.</t>
  </si>
  <si>
    <t xml:space="preserve">Convención de colores</t>
  </si>
  <si>
    <t xml:space="preserve">Azul</t>
  </si>
  <si>
    <t xml:space="preserve">Dato de entrada: puede modificarse para explorar el caso</t>
  </si>
  <si>
    <t xml:space="preserve">Negro</t>
  </si>
  <si>
    <t xml:space="preserve">Resultado calculado por fórmula: no modificar</t>
  </si>
  <si>
    <t xml:space="preserve">Verde</t>
  </si>
  <si>
    <t xml:space="preserve">Referencia a otra hoja de este mismo archivo</t>
  </si>
  <si>
    <t xml:space="preserve">Las cifras están expresadas en millones de pesos colombianos, salvo indicación en contrario.</t>
  </si>
  <si>
    <t xml:space="preserve">Caso de ficción construido con fines docentes. Cualquier parecido con una operación real es coincidencia.</t>
  </si>
  <si>
    <t xml:space="preserve">Supuestos del proyecto</t>
  </si>
  <si>
    <t xml:space="preserve">Columna B: estructuración original (Sesión 2) · Columna C: situación certificada al mes 20 (Sesiones 3 y 4)</t>
  </si>
  <si>
    <t xml:space="preserve">Supuesto</t>
  </si>
  <si>
    <t xml:space="preserve">Base</t>
  </si>
  <si>
    <t xml:space="preserve">Mes 20</t>
  </si>
  <si>
    <t xml:space="preserve">Unidad</t>
  </si>
  <si>
    <t xml:space="preserve">Origen del dato</t>
  </si>
  <si>
    <t xml:space="preserve">Unidades totales del proyecto</t>
  </si>
  <si>
    <t xml:space="preserve">unidades</t>
  </si>
  <si>
    <t xml:space="preserve">Licencia de construcción y planos aprobados</t>
  </si>
  <si>
    <t xml:space="preserve">Precio promedio por unidad</t>
  </si>
  <si>
    <t xml:space="preserve">$ millones</t>
  </si>
  <si>
    <t xml:space="preserve">Base: estudio comercial. Mes 20: descuentos del 4% aplicados</t>
  </si>
  <si>
    <t xml:space="preserve">Ritmo de ventas por semestre</t>
  </si>
  <si>
    <t xml:space="preserve">Base: plan comercial. Mes 20: ejecución real, 35% por debajo</t>
  </si>
  <si>
    <t xml:space="preserve">Tasa de desistimiento</t>
  </si>
  <si>
    <t xml:space="preserve">% de ventas</t>
  </si>
  <si>
    <t xml:space="preserve">Base: histórico del promotor. Mes 20: reporte comercial</t>
  </si>
  <si>
    <t xml:space="preserve">Costo del lote</t>
  </si>
  <si>
    <t xml:space="preserve">Escritura de compraventa</t>
  </si>
  <si>
    <t xml:space="preserve">Costos directos de construcción</t>
  </si>
  <si>
    <t xml:space="preserve">Base: presupuesto. Mes 20: sobrecosto de acero del 18%</t>
  </si>
  <si>
    <t xml:space="preserve">Costos indirectos</t>
  </si>
  <si>
    <t xml:space="preserve">Mes 20: incluye $900 de supervisión técnica reforzada</t>
  </si>
  <si>
    <t xml:space="preserve">Gastos comerciales</t>
  </si>
  <si>
    <t xml:space="preserve">Presupuesto de mercadeo y ventas</t>
  </si>
  <si>
    <t xml:space="preserve">Tasa del crédito constructor (E.A.)</t>
  </si>
  <si>
    <t xml:space="preserve">% efectivo anual</t>
  </si>
  <si>
    <t xml:space="preserve">IBR + 6%. Mes 20: alza de 300 puntos básicos</t>
  </si>
  <si>
    <t xml:space="preserve">Cupo del crédito constructor</t>
  </si>
  <si>
    <t xml:space="preserve">Carta de aprobación del banco</t>
  </si>
  <si>
    <t xml:space="preserve">Aporte del promotor</t>
  </si>
  <si>
    <t xml:space="preserve">Compromiso de aporte en el contrato de fiducia</t>
  </si>
  <si>
    <t xml:space="preserve">Cuota inicial (% del precio)</t>
  </si>
  <si>
    <t xml:space="preserve">% del precio</t>
  </si>
  <si>
    <t xml:space="preserve">Política comercial del proyecto</t>
  </si>
  <si>
    <t xml:space="preserve">Curva de ejecución de obra (% de los costos directos por semestre)</t>
  </si>
  <si>
    <t xml:space="preserve">Semestre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</si>
  <si>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</si>
  <si>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</si>
  <si>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</si>
  <si>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</si>
  <si>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</si>
  <si>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</si>
  <si>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</si>
  <si>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</si>
  <si>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% de obra</t>
  </si>
  <si>
    <t xml:space="preserve">Calendario de escrituración (% de las unidades por semestre)</t>
  </si>
  <si>
    <t xml:space="preserve">% escriturado</t>
  </si>
  <si>
    <t xml:space="preserve">Calendario de amortización del crédito (% del saldo alcanzado al cierre de la obra)</t>
  </si>
  <si>
    <t xml:space="preserve">% amortizado</t>
  </si>
  <si>
    <t xml:space="preserve">Etapa 1: 180 unidades (escrituración S5 y S6) · Etapa 2: 140 unidades (escrituración S7 y S8).</t>
  </si>
  <si>
    <t xml:space="preserve">Presupuesto del proyecto, fuentes y usos</t>
  </si>
  <si>
    <t xml:space="preserve">Cifras en millones de pesos · calculadas desde la hoja Supuestos</t>
  </si>
  <si>
    <t xml:space="preserve">Usos de los recursos</t>
  </si>
  <si>
    <t xml:space="preserve">% del total (base)</t>
  </si>
  <si>
    <t xml:space="preserve">Lote</t>
  </si>
  <si>
    <t xml:space="preserve">Costos financieros estimados</t>
  </si>
  <si>
    <t xml:space="preserve">Costo total del proyecto</t>
  </si>
  <si>
    <t xml:space="preserve">Ingresos y margen</t>
  </si>
  <si>
    <t xml:space="preserve">Ingresos por ventas</t>
  </si>
  <si>
    <t xml:space="preserve">Utilidad del proyecto</t>
  </si>
  <si>
    <t xml:space="preserve">Margen sobre ingresos</t>
  </si>
  <si>
    <t xml:space="preserve">Fuentes de recursos</t>
  </si>
  <si>
    <t xml:space="preserve">Fuente</t>
  </si>
  <si>
    <t xml:space="preserve">Monto</t>
  </si>
  <si>
    <t xml:space="preserve">% del costo total</t>
  </si>
  <si>
    <t xml:space="preserve">Obligación que genera</t>
  </si>
  <si>
    <t xml:space="preserve">Primera pérdida: no se recupera si el proyecto falla</t>
  </si>
  <si>
    <t xml:space="preserve">Anticipos de compradores</t>
  </si>
  <si>
    <t xml:space="preserve">Obligación de entregar la unidad terminada</t>
  </si>
  <si>
    <t xml:space="preserve">Crédito constructor</t>
  </si>
  <si>
    <t xml:space="preserve">Servicio de deuda, covenants y garantías</t>
  </si>
  <si>
    <t xml:space="preserve">Total fuentes</t>
  </si>
  <si>
    <t xml:space="preserve">Loan to Cost = crédito constructor sobre costo total del proyecto</t>
  </si>
  <si>
    <t xml:space="preserve">Loan to Cost</t>
  </si>
  <si>
    <t xml:space="preserve">Grupo Altavista S.A.S. — Estados financieros</t>
  </si>
  <si>
    <t xml:space="preserve">Cifras en millones de pesos · estados auditados de los tres años previos a la solicitud</t>
  </si>
  <si>
    <t xml:space="preserve">Balance general</t>
  </si>
  <si>
    <t xml:space="preserve">Año 1</t>
  </si>
  <si>
    <t xml:space="preserve">Año 2</t>
  </si>
  <si>
    <t xml:space="preserve">Año 3</t>
  </si>
  <si>
    <t xml:space="preserve">Caja y equivalentes</t>
  </si>
  <si>
    <t xml:space="preserve">Derechos en fideicomisos</t>
  </si>
  <si>
    <t xml:space="preserve">Cuentas por cobrar</t>
  </si>
  <si>
    <t xml:space="preserve">Inventarios de proyectos</t>
  </si>
  <si>
    <t xml:space="preserve">Propiedad, planta y equipo</t>
  </si>
  <si>
    <t xml:space="preserve">Otros activos</t>
  </si>
  <si>
    <t xml:space="preserve">TOTAL ACTIVO</t>
  </si>
  <si>
    <t xml:space="preserve">Anticipos de clientes</t>
  </si>
  <si>
    <t xml:space="preserve">Obligaciones financieras</t>
  </si>
  <si>
    <t xml:space="preserve">Proveedores y otros pasivos</t>
  </si>
  <si>
    <t xml:space="preserve">TOTAL PASIVO</t>
  </si>
  <si>
    <t xml:space="preserve">Capital y reservas</t>
  </si>
  <si>
    <t xml:space="preserve">Utilidades retenidas</t>
  </si>
  <si>
    <t xml:space="preserve">TOTAL PATRIMONIO</t>
  </si>
  <si>
    <t xml:space="preserve">Verificación: Activo − Pasivo − Patrimonio (debe ser cero)</t>
  </si>
  <si>
    <t xml:space="preserve">Estado de resultados</t>
  </si>
  <si>
    <t xml:space="preserve">Ingresos operacionales</t>
  </si>
  <si>
    <t xml:space="preserve">Costo de ventas</t>
  </si>
  <si>
    <t xml:space="preserve">Utilidad bruta</t>
  </si>
  <si>
    <t xml:space="preserve">Gastos de administración y ventas</t>
  </si>
  <si>
    <t xml:space="preserve">Utilidad operacional</t>
  </si>
  <si>
    <t xml:space="preserve">Gastos financieros causados</t>
  </si>
  <si>
    <t xml:space="preserve">Utilidad antes de impuestos</t>
  </si>
  <si>
    <t xml:space="preserve">Impuesto de renta</t>
  </si>
  <si>
    <t xml:space="preserve">Utilidad neta</t>
  </si>
  <si>
    <t xml:space="preserve">Indicadores del promotor</t>
  </si>
  <si>
    <t xml:space="preserve">Indicador</t>
  </si>
  <si>
    <t xml:space="preserve">Razón corriente (act. corriente / pas. corriente)</t>
  </si>
  <si>
    <t xml:space="preserve">Prueba ácida (sin inventarios)</t>
  </si>
  <si>
    <t xml:space="preserve">Margen bruto</t>
  </si>
  <si>
    <t xml:space="preserve">Endeudamiento (pasivo / activo)</t>
  </si>
  <si>
    <t xml:space="preserve">Deuda financiera / patrimonio</t>
  </si>
  <si>
    <t xml:space="preserve">Cobertura de intereses (Ut. operacional / gasto financiero)</t>
  </si>
  <si>
    <t xml:space="preserve">Inventarios / activo total</t>
  </si>
  <si>
    <t xml:space="preserve">Rentabilidad del patrimonio (ut. neta / patrimonio)</t>
  </si>
  <si>
    <t xml:space="preserve">Nota para el análisis: los gastos financieros de este cuadro no incluyen los intereses capitalizados al inventario de los proyectos.</t>
  </si>
  <si>
    <t xml:space="preserve">Proyección base del proyecto Ciudadela del Norte</t>
  </si>
  <si>
    <t xml:space="preserve">Proyección con la que se estructuró el negocio · millones de pesos</t>
  </si>
  <si>
    <t xml:space="preserve">Concepto</t>
  </si>
  <si>
    <t xml:space="preserve">Total</t>
  </si>
  <si>
    <t xml:space="preserve">Unidades vendidas (brutas)</t>
  </si>
  <si>
    <t xml:space="preserve">Desistimientos</t>
  </si>
  <si>
    <t xml:space="preserve">Unidades vendidas netas</t>
  </si>
  <si>
    <t xml:space="preserve">Unidades netas acumuladas</t>
  </si>
  <si>
    <t xml:space="preserve">Unidades escrituradas</t>
  </si>
  <si>
    <t xml:space="preserve">RECAUDO</t>
  </si>
  <si>
    <t xml:space="preserve">Cuota inicial de las ventas del semestre</t>
  </si>
  <si>
    <t xml:space="preserve">Saldo recibido en la escrituración</t>
  </si>
  <si>
    <t xml:space="preserve">Recaudo total del semestre</t>
  </si>
  <si>
    <t xml:space="preserve">COSTOS Y GASTOS</t>
  </si>
  <si>
    <t xml:space="preserve">Costos totales del semestre</t>
  </si>
  <si>
    <t xml:space="preserve">Flujo operativo antes de financiación</t>
  </si>
  <si>
    <t xml:space="preserve">FINANCIACIÓN</t>
  </si>
  <si>
    <t xml:space="preserve">Saldo inicial de la deuda</t>
  </si>
  <si>
    <t xml:space="preserve">Desembolso del crédito</t>
  </si>
  <si>
    <t xml:space="preserve">Intereses del semestre</t>
  </si>
  <si>
    <t xml:space="preserve">Amortización del capital</t>
  </si>
  <si>
    <t xml:space="preserve">Saldo final de la deuda</t>
  </si>
  <si>
    <t xml:space="preserve">Caja acumulada del proyecto</t>
  </si>
  <si>
    <t xml:space="preserve">INDICADORES DE COBERTURA</t>
  </si>
  <si>
    <t xml:space="preserve">Servicio de la deuda (intereses + capital)</t>
  </si>
  <si>
    <t xml:space="preserve">Cobertura del servicio de la deuda (DSCR)</t>
  </si>
  <si>
    <t xml:space="preserve">Deuda sobre costo del proyecto (LTC)</t>
  </si>
  <si>
    <t xml:space="preserve">El DSCR se certifica semestralmente. El covenant pactado exige un mínimo de 1,20x.</t>
  </si>
  <si>
    <t xml:space="preserve">Todos los cálculos toman sus datos de la hoja Supuestos: cambiar un supuesto recalcula toda la proyección.</t>
  </si>
  <si>
    <t xml:space="preserve">Proyección actualizada al mes 20</t>
  </si>
  <si>
    <t xml:space="preserve">Misma estructura de cálculo, supuestos deteriorados · millones de pesos</t>
  </si>
  <si>
    <t xml:space="preserve">Escenarios para el ejercicio de la Sesión 3</t>
  </si>
  <si>
    <t xml:space="preserve">Los tres escenarios se construyen modificando la hoja Supuestos y leyendo los resultados</t>
  </si>
  <si>
    <t xml:space="preserve">Variable</t>
  </si>
  <si>
    <t xml:space="preserve">Adverso</t>
  </si>
  <si>
    <t xml:space="preserve">Favorable</t>
  </si>
  <si>
    <t xml:space="preserve">Comentario</t>
  </si>
  <si>
    <t xml:space="preserve">Adverso: −8% · Favorable: +5%</t>
  </si>
  <si>
    <t xml:space="preserve">Adverso: −33% · Favorable: +33%</t>
  </si>
  <si>
    <t xml:space="preserve">Adverso: +10% · Favorable: −3%</t>
  </si>
  <si>
    <t xml:space="preserve">Tasa del crédito (E.A.)</t>
  </si>
  <si>
    <t xml:space="preserve">Adverso: +300 pb · Favorable: −100 pb</t>
  </si>
  <si>
    <t xml:space="preserve">Adverso: casi el doble del histórico</t>
  </si>
  <si>
    <t xml:space="preserve">Impacto estimado sobre la utilidad del proyecto</t>
  </si>
  <si>
    <t xml:space="preserve">Choque aplicado individualmente</t>
  </si>
  <si>
    <t xml:space="preserve">Caída de la utilidad</t>
  </si>
  <si>
    <t xml:space="preserve">Puntos de margen perdidos</t>
  </si>
  <si>
    <t xml:space="preserve">Baja el precio de venta un 8%</t>
  </si>
  <si>
    <t xml:space="preserve">Sube el costo de obra un 10%</t>
  </si>
  <si>
    <t xml:space="preserve">Se vende un 33% más despacio</t>
  </si>
  <si>
    <t xml:space="preserve">Los desistimientos llegan al 15%</t>
  </si>
  <si>
    <t xml:space="preserve">La tasa sube 300 puntos básicos</t>
  </si>
  <si>
    <t xml:space="preserve">Cifras calculadas corriendo la proyección con cada choque por separado. Sirven para el ejercicio de sensibilidad de la Sesión 3.</t>
  </si>
  <si>
    <t xml:space="preserve">Advertencia docente: este cuadro mide impacto, no probabilidad de ocurrencia.</t>
  </si>
  <si>
    <t xml:space="preserve">Tablero de covenants pactados</t>
  </si>
  <si>
    <t xml:space="preserve">Condiciones del contrato de crédito y del contrato de fiducia · verificación al mes 20</t>
  </si>
  <si>
    <t xml:space="preserve">Condición pactada</t>
  </si>
  <si>
    <t xml:space="preserve">Origen contractual</t>
  </si>
  <si>
    <t xml:space="preserve">Umbral</t>
  </si>
  <si>
    <t xml:space="preserve">Estado base</t>
  </si>
  <si>
    <t xml:space="preserve">Estado mes 20</t>
  </si>
  <si>
    <t xml:space="preserve">Consecuencia</t>
  </si>
  <si>
    <t xml:space="preserve">Preventas mínimas antes de desembolsar</t>
  </si>
  <si>
    <t xml:space="preserve">Contrato de fiducia · punto de equilibrio</t>
  </si>
  <si>
    <t xml:space="preserve">Suspensión de desembolsos y revisión del cronograma</t>
  </si>
  <si>
    <t xml:space="preserve">Aporte mínimo del promotor</t>
  </si>
  <si>
    <t xml:space="preserve">Contrato de fiducia · aportes del promotor</t>
  </si>
  <si>
    <t xml:space="preserve">Exigencia de aporte adicional antes de continuar</t>
  </si>
  <si>
    <t xml:space="preserve">Contrato de crédito · covenant financiero</t>
  </si>
  <si>
    <t xml:space="preserve">Causal de incumplimiento: requerimiento, período de cura de 90 días y decisión del comité</t>
  </si>
  <si>
    <t xml:space="preserve">Loan to Cost máximo</t>
  </si>
  <si>
    <t xml:space="preserve">Bloqueo de nuevos desembolsos</t>
  </si>
  <si>
    <t xml:space="preserve">Bloqueo de distribuciones si DSCR &lt; 1,30x</t>
  </si>
  <si>
    <t xml:space="preserve">Contrato de fiducia · bloqueo de distribuciones</t>
  </si>
  <si>
    <t xml:space="preserve">Retención automática de excedentes al promotor</t>
  </si>
  <si>
    <t xml:space="preserve">El DSCR se lee del semestre 5, que es el primer período con servicio de deuda y el certificado más reciente al mes 20.</t>
  </si>
  <si>
    <t xml:space="preserve">Clave docente: la ruptura del DSCR es el hecho que detona la simulación de comité de la Sesión 4.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</si>
</sst>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\$#,##0;&quot;($&quot;#,##0\);\-"/>
    <numFmt numFmtId="167" formatCode="0.0%;\(0.0%\);\-"/>
    <numFmt numFmtId="168" formatCode="0.00\x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1E3F"/>
      <name val="Arial"/>
      <family val="0"/>
      <charset val="1"/>
    </font>
    <font>
      <i val="true"/>
      <sz val="9"/>
      <color rgb="FF5B6B84"/>
      <name val="Arial"/>
      <family val="0"/>
      <charset val="1"/>
    </font>
    <font>
      <b val="true"/>
      <sz val="10"/>
      <color rgb="FF0033A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1E3F"/>
        <bgColor rgb="FF333333"/>
      </patternFill>
    </fill>
    <fill>
      <patternFill patternType="solid">
        <fgColor rgb="FFFFF7D6"/>
        <bgColor rgb="FFF2F5FB"/>
      </patternFill>
    </fill>
    <fill>
      <patternFill patternType="solid">
        <fgColor rgb="FFF2F5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6EA"/>
      </left>
      <right style="thin">
        <color rgb="FFC9D6EA"/>
      </right>
      <top style="thin">
        <color rgb="FFC9D6EA"/>
      </top>
      <bottom style="thin">
        <color rgb="FFC9D6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D6"/>
      <rgbColor rgb="FFF2F5FB"/>
      <rgbColor rgb="FF660066"/>
      <rgbColor rgb="FFFF8080"/>
      <rgbColor rgb="FF0066CC"/>
      <rgbColor rgb="FFC9D6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B84"/>
      <rgbColor rgb="FF969696"/>
      <rgbColor rgb="FF0033A0"/>
      <rgbColor rgb="FF339966"/>
      <rgbColor rgb="FF0A1E3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95"/>
  </cols>
  <sheetData>
    <row r="1" customFormat="false" ht="17.3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5" t="s">
        <v>3</v>
      </c>
      <c r="B5" s="6" t="s">
        <v>4</v>
      </c>
    </row>
    <row r="6" customFormat="false" ht="15" hidden="false" customHeight="false" outlineLevel="0" collapsed="false">
      <c r="A6" s="5" t="s">
        <v>5</v>
      </c>
      <c r="B6" s="6" t="s">
        <v>6</v>
      </c>
    </row>
    <row r="7" customFormat="false" ht="15" hidden="false" customHeight="false" outlineLevel="0" collapsed="false">
      <c r="A7" s="5" t="s">
        <v>7</v>
      </c>
      <c r="B7" s="6" t="s">
        <v>8</v>
      </c>
    </row>
    <row r="8" customFormat="false" ht="15" hidden="false" customHeight="false" outlineLevel="0" collapsed="false">
      <c r="A8" s="5" t="s">
        <v>9</v>
      </c>
      <c r="B8" s="6" t="s">
        <v>10</v>
      </c>
    </row>
    <row r="9" customFormat="false" ht="15" hidden="false" customHeight="false" outlineLevel="0" collapsed="false">
      <c r="A9" s="5" t="s">
        <v>11</v>
      </c>
      <c r="B9" s="6" t="s">
        <v>12</v>
      </c>
    </row>
    <row r="10" customFormat="false" ht="15" hidden="false" customHeight="false" outlineLevel="0" collapsed="false">
      <c r="A10" s="5" t="s">
        <v>13</v>
      </c>
      <c r="B10" s="6" t="s">
        <v>14</v>
      </c>
    </row>
    <row r="11" customFormat="false" ht="15" hidden="false" customHeight="false" outlineLevel="0" collapsed="false">
      <c r="A11" s="5" t="s">
        <v>15</v>
      </c>
      <c r="B11" s="6" t="s">
        <v>16</v>
      </c>
    </row>
    <row r="13" customFormat="false" ht="15" hidden="false" customHeight="false" outlineLevel="0" collapsed="false">
      <c r="A13" s="4" t="s">
        <v>17</v>
      </c>
    </row>
    <row r="14" customFormat="false" ht="15" hidden="false" customHeight="false" outlineLevel="0" collapsed="false">
      <c r="A14" s="7" t="s">
        <v>18</v>
      </c>
      <c r="B14" s="6" t="s">
        <v>19</v>
      </c>
    </row>
    <row r="15" customFormat="false" ht="15" hidden="false" customHeight="false" outlineLevel="0" collapsed="false">
      <c r="A15" s="8" t="s">
        <v>20</v>
      </c>
      <c r="B15" s="6" t="s">
        <v>21</v>
      </c>
    </row>
    <row r="16" customFormat="false" ht="15" hidden="false" customHeight="false" outlineLevel="0" collapsed="false">
      <c r="A16" s="9" t="s">
        <v>22</v>
      </c>
      <c r="B16" s="6" t="s">
        <v>23</v>
      </c>
    </row>
    <row r="18" customFormat="false" ht="15" hidden="false" customHeight="false" outlineLevel="0" collapsed="false">
      <c r="A18" s="3" t="s">
        <v>24</v>
      </c>
    </row>
    <row r="19" customFormat="false" ht="15" hidden="false" customHeight="false" outlineLevel="0" collapsed="false">
      <c r="A19" s="3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4" min="2" style="1" width="14"/>
    <col collapsed="false" customWidth="true" hidden="false" outlineLevel="0" max="5" min="5" style="1" width="62"/>
  </cols>
  <sheetData>
    <row r="1" customFormat="false" ht="17.35" hidden="false" customHeight="false" outlineLevel="0" collapsed="false">
      <c r="A1" s="2" t="s">
        <v>26</v>
      </c>
    </row>
    <row r="2" customFormat="false" ht="15" hidden="false" customHeight="false" outlineLevel="0" collapsed="false">
      <c r="A2" s="3" t="s">
        <v>27</v>
      </c>
    </row>
    <row r="4" customFormat="false" ht="15" hidden="false" customHeight="false" outlineLevel="0" collapsed="false">
      <c r="A4" s="10" t="s">
        <v>28</v>
      </c>
      <c r="B4" s="10" t="s">
        <v>29</v>
      </c>
      <c r="C4" s="10" t="s">
        <v>30</v>
      </c>
      <c r="D4" s="10" t="s">
        <v>31</v>
      </c>
      <c r="E4" s="10" t="s">
        <v>32</v>
      </c>
    </row>
    <row r="5" customFormat="false" ht="15" hidden="false" customHeight="false" outlineLevel="0" collapsed="false">
      <c r="A5" s="6" t="s">
        <v>33</v>
      </c>
      <c r="B5" s="11" t="n">
        <v>320</v>
      </c>
      <c r="C5" s="11" t="n">
        <v>320</v>
      </c>
      <c r="D5" s="6" t="s">
        <v>34</v>
      </c>
      <c r="E5" s="3" t="s">
        <v>35</v>
      </c>
    </row>
    <row r="6" customFormat="false" ht="15" hidden="false" customHeight="false" outlineLevel="0" collapsed="false">
      <c r="A6" s="6" t="s">
        <v>36</v>
      </c>
      <c r="B6" s="12" t="n">
        <v>495</v>
      </c>
      <c r="C6" s="12" t="n">
        <v>475</v>
      </c>
      <c r="D6" s="6" t="s">
        <v>37</v>
      </c>
      <c r="E6" s="3" t="s">
        <v>38</v>
      </c>
    </row>
    <row r="7" customFormat="false" ht="15" hidden="false" customHeight="false" outlineLevel="0" collapsed="false">
      <c r="A7" s="6" t="s">
        <v>39</v>
      </c>
      <c r="B7" s="11" t="n">
        <v>48</v>
      </c>
      <c r="C7" s="11" t="n">
        <v>31</v>
      </c>
      <c r="D7" s="6" t="s">
        <v>34</v>
      </c>
      <c r="E7" s="3" t="s">
        <v>40</v>
      </c>
    </row>
    <row r="8" customFormat="false" ht="15" hidden="false" customHeight="false" outlineLevel="0" collapsed="false">
      <c r="A8" s="6" t="s">
        <v>41</v>
      </c>
      <c r="B8" s="13" t="n">
        <v>0.08</v>
      </c>
      <c r="C8" s="13" t="n">
        <v>0.14</v>
      </c>
      <c r="D8" s="6" t="s">
        <v>42</v>
      </c>
      <c r="E8" s="3" t="s">
        <v>43</v>
      </c>
    </row>
    <row r="9" customFormat="false" ht="15" hidden="false" customHeight="false" outlineLevel="0" collapsed="false">
      <c r="A9" s="6" t="s">
        <v>44</v>
      </c>
      <c r="B9" s="12" t="n">
        <v>18000</v>
      </c>
      <c r="C9" s="12" t="n">
        <v>18000</v>
      </c>
      <c r="D9" s="6" t="s">
        <v>37</v>
      </c>
      <c r="E9" s="3" t="s">
        <v>45</v>
      </c>
    </row>
    <row r="10" customFormat="false" ht="15" hidden="false" customHeight="false" outlineLevel="0" collapsed="false">
      <c r="A10" s="6" t="s">
        <v>46</v>
      </c>
      <c r="B10" s="12" t="n">
        <v>79000</v>
      </c>
      <c r="C10" s="12" t="n">
        <v>85300</v>
      </c>
      <c r="D10" s="6" t="s">
        <v>37</v>
      </c>
      <c r="E10" s="3" t="s">
        <v>47</v>
      </c>
    </row>
    <row r="11" customFormat="false" ht="15" hidden="false" customHeight="false" outlineLevel="0" collapsed="false">
      <c r="A11" s="6" t="s">
        <v>48</v>
      </c>
      <c r="B11" s="12" t="n">
        <v>12500</v>
      </c>
      <c r="C11" s="12" t="n">
        <v>13400</v>
      </c>
      <c r="D11" s="6" t="s">
        <v>37</v>
      </c>
      <c r="E11" s="3" t="s">
        <v>49</v>
      </c>
    </row>
    <row r="12" customFormat="false" ht="15" hidden="false" customHeight="false" outlineLevel="0" collapsed="false">
      <c r="A12" s="6" t="s">
        <v>50</v>
      </c>
      <c r="B12" s="12" t="n">
        <v>6800</v>
      </c>
      <c r="C12" s="12" t="n">
        <v>6800</v>
      </c>
      <c r="D12" s="6" t="s">
        <v>37</v>
      </c>
      <c r="E12" s="3" t="s">
        <v>51</v>
      </c>
    </row>
    <row r="13" customFormat="false" ht="15" hidden="false" customHeight="false" outlineLevel="0" collapsed="false">
      <c r="A13" s="6" t="s">
        <v>52</v>
      </c>
      <c r="B13" s="13" t="n">
        <v>0.152</v>
      </c>
      <c r="C13" s="13" t="n">
        <v>0.182</v>
      </c>
      <c r="D13" s="6" t="s">
        <v>53</v>
      </c>
      <c r="E13" s="3" t="s">
        <v>54</v>
      </c>
    </row>
    <row r="14" customFormat="false" ht="15" hidden="false" customHeight="false" outlineLevel="0" collapsed="false">
      <c r="A14" s="6" t="s">
        <v>55</v>
      </c>
      <c r="B14" s="12" t="n">
        <v>40000</v>
      </c>
      <c r="C14" s="12" t="n">
        <v>40000</v>
      </c>
      <c r="D14" s="6" t="s">
        <v>37</v>
      </c>
      <c r="E14" s="3" t="s">
        <v>56</v>
      </c>
    </row>
    <row r="15" customFormat="false" ht="15" hidden="false" customHeight="false" outlineLevel="0" collapsed="false">
      <c r="A15" s="6" t="s">
        <v>57</v>
      </c>
      <c r="B15" s="12" t="n">
        <v>30000</v>
      </c>
      <c r="C15" s="12" t="n">
        <v>30000</v>
      </c>
      <c r="D15" s="6" t="s">
        <v>37</v>
      </c>
      <c r="E15" s="3" t="s">
        <v>58</v>
      </c>
    </row>
    <row r="16" customFormat="false" ht="15" hidden="false" customHeight="false" outlineLevel="0" collapsed="false">
      <c r="A16" s="6" t="s">
        <v>59</v>
      </c>
      <c r="B16" s="13" t="n">
        <v>0.3</v>
      </c>
      <c r="C16" s="13" t="n">
        <v>0.3</v>
      </c>
      <c r="D16" s="6" t="s">
        <v>60</v>
      </c>
      <c r="E16" s="3" t="s">
        <v>61</v>
      </c>
    </row>
    <row r="18" customFormat="false" ht="15" hidden="false" customHeight="false" outlineLevel="0" collapsed="false">
      <c r="A18" s="4" t="s">
        <v>62</v>
      </c>
    </row>
    <row r="19" customFormat="false" ht="15" hidden="false" customHeight="false" outlineLevel="0" collapsed="false">
      <c r="A19" s="5" t="s">
        <v>63</v>
      </c>
      <c r="B19" s="5" t="s">
        <v>64</v>
      </c>
      <c r="C19" s="5" t="s">
        <v>65</v>
      </c>
      <c r="D19" s="5" t="s">
        <v>66</v>
      </c>
      <c r="E19" s="5" t="s">
        <v>67</v>
      </c>
      <c r="F19" s="5" t="s">
        <v>68</v>
      </c>
      <c r="G19" s="5" t="s">
        <v>69</v>
      </c>
      <c r="H19" s="5" t="s">
        <v>70</v>
      </c>
      <c r="I19" s="5" t="s">
        <v>71</v>
      </c>
    </row>
    <row r="20" customFormat="false" ht="15" hidden="false" customHeight="false" outlineLevel="0" collapsed="false">
      <c r="A20" s="6" t="s">
        <v>72</v>
      </c>
      <c r="B20" s="13" t="n">
        <v>0.05</v>
      </c>
      <c r="C20" s="13" t="n">
        <v>0.12</v>
      </c>
      <c r="D20" s="13" t="n">
        <v>0.18</v>
      </c>
      <c r="E20" s="13" t="n">
        <v>0.22</v>
      </c>
      <c r="F20" s="13" t="n">
        <v>0.2</v>
      </c>
      <c r="G20" s="13" t="n">
        <v>0.13</v>
      </c>
      <c r="H20" s="13" t="n">
        <v>0.07</v>
      </c>
      <c r="I20" s="13" t="n">
        <v>0.03</v>
      </c>
    </row>
    <row r="22" customFormat="false" ht="15" hidden="false" customHeight="false" outlineLevel="0" collapsed="false">
      <c r="A22" s="4" t="s">
        <v>73</v>
      </c>
    </row>
    <row r="23" customFormat="false" ht="15" hidden="false" customHeight="false" outlineLevel="0" collapsed="false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67</v>
      </c>
      <c r="F23" s="5" t="s">
        <v>68</v>
      </c>
      <c r="G23" s="5" t="s">
        <v>69</v>
      </c>
      <c r="H23" s="5" t="s">
        <v>70</v>
      </c>
      <c r="I23" s="5" t="s">
        <v>71</v>
      </c>
    </row>
    <row r="24" customFormat="false" ht="15" hidden="false" customHeight="false" outlineLevel="0" collapsed="false">
      <c r="A24" s="6" t="s">
        <v>74</v>
      </c>
      <c r="B24" s="13" t="n">
        <v>0</v>
      </c>
      <c r="C24" s="13" t="n">
        <v>0</v>
      </c>
      <c r="D24" s="13" t="n">
        <v>0</v>
      </c>
      <c r="E24" s="13" t="n">
        <v>0</v>
      </c>
      <c r="F24" s="13" t="n">
        <v>0.28</v>
      </c>
      <c r="G24" s="13" t="n">
        <v>0.28</v>
      </c>
      <c r="H24" s="13" t="n">
        <v>0.22</v>
      </c>
      <c r="I24" s="13" t="n">
        <v>0.22</v>
      </c>
    </row>
    <row r="26" customFormat="false" ht="15" hidden="false" customHeight="false" outlineLevel="0" collapsed="false">
      <c r="A26" s="4" t="s">
        <v>75</v>
      </c>
    </row>
    <row r="27" customFormat="false" ht="15" hidden="false" customHeight="false" outlineLevel="0" collapsed="false">
      <c r="A27" s="5" t="s">
        <v>63</v>
      </c>
      <c r="B27" s="5" t="s">
        <v>64</v>
      </c>
      <c r="C27" s="5" t="s">
        <v>65</v>
      </c>
      <c r="D27" s="5" t="s">
        <v>66</v>
      </c>
      <c r="E27" s="5" t="s">
        <v>67</v>
      </c>
      <c r="F27" s="5" t="s">
        <v>68</v>
      </c>
      <c r="G27" s="5" t="s">
        <v>69</v>
      </c>
      <c r="H27" s="5" t="s">
        <v>70</v>
      </c>
      <c r="I27" s="5" t="s">
        <v>71</v>
      </c>
    </row>
    <row r="28" customFormat="false" ht="15" hidden="false" customHeight="false" outlineLevel="0" collapsed="false">
      <c r="A28" s="6" t="s">
        <v>76</v>
      </c>
      <c r="B28" s="13" t="n">
        <v>0</v>
      </c>
      <c r="C28" s="13" t="n">
        <v>0</v>
      </c>
      <c r="D28" s="13" t="n">
        <v>0</v>
      </c>
      <c r="E28" s="13" t="n">
        <v>0</v>
      </c>
      <c r="F28" s="13" t="n">
        <v>0.3</v>
      </c>
      <c r="G28" s="13" t="n">
        <v>0.3</v>
      </c>
      <c r="H28" s="13" t="n">
        <v>0.25</v>
      </c>
      <c r="I28" s="13" t="n">
        <v>0.15</v>
      </c>
    </row>
    <row r="30" customFormat="false" ht="15" hidden="false" customHeight="false" outlineLevel="0" collapsed="false">
      <c r="A30" s="3" t="s">
        <v>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3" min="2" style="1" width="18"/>
    <col collapsed="false" customWidth="true" hidden="false" outlineLevel="0" max="4" min="4" style="1" width="52"/>
  </cols>
  <sheetData>
    <row r="1" customFormat="false" ht="17.35" hidden="false" customHeight="false" outlineLevel="0" collapsed="false">
      <c r="A1" s="2" t="s">
        <v>78</v>
      </c>
    </row>
    <row r="2" customFormat="false" ht="15" hidden="false" customHeight="false" outlineLevel="0" collapsed="false">
      <c r="A2" s="3" t="s">
        <v>79</v>
      </c>
    </row>
    <row r="4" customFormat="false" ht="15" hidden="false" customHeight="false" outlineLevel="0" collapsed="false">
      <c r="A4" s="10" t="s">
        <v>80</v>
      </c>
      <c r="B4" s="10" t="s">
        <v>29</v>
      </c>
      <c r="C4" s="10" t="s">
        <v>30</v>
      </c>
      <c r="D4" s="10" t="s">
        <v>81</v>
      </c>
    </row>
    <row r="5" customFormat="false" ht="15" hidden="false" customHeight="false" outlineLevel="0" collapsed="false">
      <c r="A5" s="6" t="s">
        <v>82</v>
      </c>
      <c r="B5" s="14" t="n">
        <f aca="false">Supuestos!B9</f>
        <v>18000</v>
      </c>
      <c r="C5" s="14" t="n">
        <f aca="false">Supuestos!C9</f>
        <v>18000</v>
      </c>
      <c r="D5" s="15" t="n">
        <f aca="false">B5/$B$10</f>
        <v>0.150155160332343</v>
      </c>
    </row>
    <row r="6" customFormat="false" ht="15" hidden="false" customHeight="false" outlineLevel="0" collapsed="false">
      <c r="A6" s="6" t="s">
        <v>46</v>
      </c>
      <c r="B6" s="14" t="n">
        <f aca="false">Supuestos!B10</f>
        <v>79000</v>
      </c>
      <c r="C6" s="14" t="n">
        <f aca="false">Supuestos!C10</f>
        <v>85300</v>
      </c>
      <c r="D6" s="15" t="n">
        <f aca="false">B6/$B$10</f>
        <v>0.659014314791952</v>
      </c>
    </row>
    <row r="7" customFormat="false" ht="15" hidden="false" customHeight="false" outlineLevel="0" collapsed="false">
      <c r="A7" s="6" t="s">
        <v>48</v>
      </c>
      <c r="B7" s="14" t="n">
        <f aca="false">Supuestos!B11</f>
        <v>12500</v>
      </c>
      <c r="C7" s="14" t="n">
        <f aca="false">Supuestos!C11</f>
        <v>13400</v>
      </c>
      <c r="D7" s="15" t="n">
        <f aca="false">B7/$B$10</f>
        <v>0.104274416897461</v>
      </c>
    </row>
    <row r="8" customFormat="false" ht="15" hidden="false" customHeight="false" outlineLevel="0" collapsed="false">
      <c r="A8" s="6" t="s">
        <v>50</v>
      </c>
      <c r="B8" s="14" t="n">
        <f aca="false">Supuestos!B12</f>
        <v>6800</v>
      </c>
      <c r="C8" s="14" t="n">
        <f aca="false">Supuestos!C12</f>
        <v>6800</v>
      </c>
      <c r="D8" s="15" t="n">
        <f aca="false">B8/$B$10</f>
        <v>0.0567252827922186</v>
      </c>
    </row>
    <row r="9" customFormat="false" ht="15" hidden="false" customHeight="false" outlineLevel="0" collapsed="false">
      <c r="A9" s="6" t="s">
        <v>83</v>
      </c>
      <c r="B9" s="14" t="n">
        <f aca="false">-ROUND('Proyección Base'!J28,0)</f>
        <v>3576</v>
      </c>
      <c r="C9" s="14" t="n">
        <f aca="false">-ROUND('Proyección Mes 20'!J28,0)</f>
        <v>9615</v>
      </c>
      <c r="D9" s="15" t="n">
        <f aca="false">B9/$B$10</f>
        <v>0.0298308251860256</v>
      </c>
    </row>
    <row r="10" customFormat="false" ht="15" hidden="false" customHeight="false" outlineLevel="0" collapsed="false">
      <c r="A10" s="5" t="s">
        <v>84</v>
      </c>
      <c r="B10" s="16" t="n">
        <f aca="false">SUM(B5:B9)</f>
        <v>119876</v>
      </c>
      <c r="C10" s="16" t="n">
        <f aca="false">SUM(C5:C9)</f>
        <v>133115</v>
      </c>
      <c r="D10" s="17" t="n">
        <v>1</v>
      </c>
    </row>
    <row r="12" customFormat="false" ht="15" hidden="false" customHeight="false" outlineLevel="0" collapsed="false">
      <c r="A12" s="4" t="s">
        <v>85</v>
      </c>
    </row>
    <row r="13" customFormat="false" ht="15" hidden="false" customHeight="false" outlineLevel="0" collapsed="false">
      <c r="A13" s="6" t="s">
        <v>86</v>
      </c>
      <c r="B13" s="18" t="n">
        <f aca="false">Supuestos!B5*Supuestos!B6*(1-Supuestos!B8)</f>
        <v>145728</v>
      </c>
      <c r="C13" s="18" t="n">
        <f aca="false">Supuestos!C5*Supuestos!C6*(1-Supuestos!C8)</f>
        <v>130720</v>
      </c>
    </row>
    <row r="14" customFormat="false" ht="15" hidden="false" customHeight="false" outlineLevel="0" collapsed="false">
      <c r="A14" s="6" t="s">
        <v>84</v>
      </c>
      <c r="B14" s="18" t="n">
        <f aca="false">B10</f>
        <v>119876</v>
      </c>
      <c r="C14" s="18" t="n">
        <f aca="false">C10</f>
        <v>133115</v>
      </c>
    </row>
    <row r="15" customFormat="false" ht="15" hidden="false" customHeight="false" outlineLevel="0" collapsed="false">
      <c r="A15" s="5" t="s">
        <v>87</v>
      </c>
      <c r="B15" s="18" t="n">
        <f aca="false">B13-B14</f>
        <v>25852</v>
      </c>
      <c r="C15" s="18" t="n">
        <f aca="false">C13-C14</f>
        <v>-2395</v>
      </c>
    </row>
    <row r="16" customFormat="false" ht="15" hidden="false" customHeight="false" outlineLevel="0" collapsed="false">
      <c r="A16" s="5" t="s">
        <v>88</v>
      </c>
      <c r="B16" s="15" t="n">
        <f aca="false">B15/B13</f>
        <v>0.17739898989899</v>
      </c>
      <c r="C16" s="15" t="n">
        <f aca="false">C15/C13</f>
        <v>-0.0183216034271726</v>
      </c>
    </row>
    <row r="18" customFormat="false" ht="15" hidden="false" customHeight="false" outlineLevel="0" collapsed="false">
      <c r="A18" s="4" t="s">
        <v>89</v>
      </c>
    </row>
    <row r="19" customFormat="false" ht="15" hidden="false" customHeight="false" outlineLevel="0" collapsed="false">
      <c r="A19" s="10" t="s">
        <v>90</v>
      </c>
      <c r="B19" s="10" t="s">
        <v>91</v>
      </c>
      <c r="C19" s="10" t="s">
        <v>92</v>
      </c>
      <c r="D19" s="10" t="s">
        <v>93</v>
      </c>
    </row>
    <row r="20" customFormat="false" ht="15" hidden="false" customHeight="false" outlineLevel="0" collapsed="false">
      <c r="A20" s="6" t="s">
        <v>57</v>
      </c>
      <c r="B20" s="14" t="n">
        <f aca="false">Supuestos!B15</f>
        <v>30000</v>
      </c>
      <c r="C20" s="15" t="n">
        <f aca="false">B20/$B$10</f>
        <v>0.250258600553906</v>
      </c>
      <c r="D20" s="3" t="s">
        <v>94</v>
      </c>
    </row>
    <row r="21" customFormat="false" ht="15" hidden="false" customHeight="false" outlineLevel="0" collapsed="false">
      <c r="A21" s="6" t="s">
        <v>95</v>
      </c>
      <c r="B21" s="18" t="n">
        <f aca="false">B10-B20-B22</f>
        <v>49876</v>
      </c>
      <c r="C21" s="15" t="n">
        <f aca="false">B21/$B$10</f>
        <v>0.41606326537422</v>
      </c>
      <c r="D21" s="3" t="s">
        <v>96</v>
      </c>
    </row>
    <row r="22" customFormat="false" ht="15" hidden="false" customHeight="false" outlineLevel="0" collapsed="false">
      <c r="A22" s="6" t="s">
        <v>97</v>
      </c>
      <c r="B22" s="14" t="n">
        <f aca="false">Supuestos!B14</f>
        <v>40000</v>
      </c>
      <c r="C22" s="15" t="n">
        <f aca="false">B22/$B$10</f>
        <v>0.333678134071874</v>
      </c>
      <c r="D22" s="3" t="s">
        <v>98</v>
      </c>
    </row>
    <row r="23" customFormat="false" ht="15" hidden="false" customHeight="false" outlineLevel="0" collapsed="false">
      <c r="A23" s="5" t="s">
        <v>99</v>
      </c>
      <c r="B23" s="19" t="n">
        <f aca="false">SUM(B20:B22)</f>
        <v>119876</v>
      </c>
      <c r="C23" s="17" t="n">
        <f aca="false">B23/B10</f>
        <v>1</v>
      </c>
    </row>
    <row r="25" customFormat="false" ht="15" hidden="false" customHeight="false" outlineLevel="0" collapsed="false">
      <c r="A25" s="3" t="s">
        <v>100</v>
      </c>
    </row>
    <row r="26" customFormat="false" ht="15" hidden="false" customHeight="false" outlineLevel="0" collapsed="false">
      <c r="A26" s="5" t="s">
        <v>101</v>
      </c>
      <c r="B26" s="15" t="n">
        <f aca="false">B22/B10</f>
        <v>0.333678134071874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4" min="2" style="1" width="16"/>
  </cols>
  <sheetData>
    <row r="1" customFormat="false" ht="17.35" hidden="false" customHeight="false" outlineLevel="0" collapsed="false">
      <c r="A1" s="2" t="s">
        <v>102</v>
      </c>
    </row>
    <row r="2" customFormat="false" ht="15" hidden="false" customHeight="false" outlineLevel="0" collapsed="false">
      <c r="A2" s="3" t="s">
        <v>103</v>
      </c>
    </row>
    <row r="4" customFormat="false" ht="15" hidden="false" customHeight="false" outlineLevel="0" collapsed="false">
      <c r="A4" s="10" t="s">
        <v>104</v>
      </c>
      <c r="B4" s="10" t="s">
        <v>105</v>
      </c>
      <c r="C4" s="10" t="s">
        <v>106</v>
      </c>
      <c r="D4" s="10" t="s">
        <v>107</v>
      </c>
    </row>
    <row r="5" customFormat="false" ht="15" hidden="false" customHeight="false" outlineLevel="0" collapsed="false">
      <c r="A5" s="6" t="s">
        <v>108</v>
      </c>
      <c r="B5" s="20" t="n">
        <v>6800</v>
      </c>
      <c r="C5" s="20" t="n">
        <v>5900</v>
      </c>
      <c r="D5" s="20" t="n">
        <v>4100</v>
      </c>
    </row>
    <row r="6" customFormat="false" ht="15" hidden="false" customHeight="false" outlineLevel="0" collapsed="false">
      <c r="A6" s="6" t="s">
        <v>109</v>
      </c>
      <c r="B6" s="20" t="n">
        <v>9200</v>
      </c>
      <c r="C6" s="20" t="n">
        <v>12400</v>
      </c>
      <c r="D6" s="20" t="n">
        <v>15800</v>
      </c>
    </row>
    <row r="7" customFormat="false" ht="15" hidden="false" customHeight="false" outlineLevel="0" collapsed="false">
      <c r="A7" s="6" t="s">
        <v>110</v>
      </c>
      <c r="B7" s="20" t="n">
        <v>7100</v>
      </c>
      <c r="C7" s="20" t="n">
        <v>8900</v>
      </c>
      <c r="D7" s="20" t="n">
        <v>11200</v>
      </c>
    </row>
    <row r="8" customFormat="false" ht="15" hidden="false" customHeight="false" outlineLevel="0" collapsed="false">
      <c r="A8" s="6" t="s">
        <v>111</v>
      </c>
      <c r="B8" s="20" t="n">
        <v>41000</v>
      </c>
      <c r="C8" s="20" t="n">
        <v>58000</v>
      </c>
      <c r="D8" s="20" t="n">
        <v>79500</v>
      </c>
    </row>
    <row r="9" customFormat="false" ht="15" hidden="false" customHeight="false" outlineLevel="0" collapsed="false">
      <c r="A9" s="6" t="s">
        <v>112</v>
      </c>
      <c r="B9" s="20" t="n">
        <v>5400</v>
      </c>
      <c r="C9" s="20" t="n">
        <v>5100</v>
      </c>
      <c r="D9" s="20" t="n">
        <v>4900</v>
      </c>
    </row>
    <row r="10" customFormat="false" ht="15" hidden="false" customHeight="false" outlineLevel="0" collapsed="false">
      <c r="A10" s="6" t="s">
        <v>113</v>
      </c>
      <c r="B10" s="20" t="n">
        <v>3500</v>
      </c>
      <c r="C10" s="20" t="n">
        <v>4200</v>
      </c>
      <c r="D10" s="20" t="n">
        <v>4700</v>
      </c>
    </row>
    <row r="11" customFormat="false" ht="15" hidden="false" customHeight="false" outlineLevel="0" collapsed="false">
      <c r="A11" s="5" t="s">
        <v>114</v>
      </c>
      <c r="B11" s="16" t="n">
        <f aca="false">SUM(B5:B10)</f>
        <v>73000</v>
      </c>
      <c r="C11" s="16" t="n">
        <f aca="false">SUM(C5:C10)</f>
        <v>94500</v>
      </c>
      <c r="D11" s="16" t="n">
        <f aca="false">SUM(D5:D10)</f>
        <v>120200</v>
      </c>
    </row>
    <row r="12" customFormat="false" ht="15" hidden="false" customHeight="false" outlineLevel="0" collapsed="false">
      <c r="A12" s="6" t="s">
        <v>115</v>
      </c>
      <c r="B12" s="20" t="n">
        <v>18600</v>
      </c>
      <c r="C12" s="20" t="n">
        <v>27300</v>
      </c>
      <c r="D12" s="20" t="n">
        <v>38900</v>
      </c>
    </row>
    <row r="13" customFormat="false" ht="15" hidden="false" customHeight="false" outlineLevel="0" collapsed="false">
      <c r="A13" s="6" t="s">
        <v>116</v>
      </c>
      <c r="B13" s="20" t="n">
        <v>16400</v>
      </c>
      <c r="C13" s="20" t="n">
        <v>23800</v>
      </c>
      <c r="D13" s="20" t="n">
        <v>34600</v>
      </c>
    </row>
    <row r="14" customFormat="false" ht="15" hidden="false" customHeight="false" outlineLevel="0" collapsed="false">
      <c r="A14" s="6" t="s">
        <v>117</v>
      </c>
      <c r="B14" s="20" t="n">
        <v>8200</v>
      </c>
      <c r="C14" s="20" t="n">
        <v>10950</v>
      </c>
      <c r="D14" s="20" t="n">
        <v>15970</v>
      </c>
    </row>
    <row r="15" customFormat="false" ht="15" hidden="false" customHeight="false" outlineLevel="0" collapsed="false">
      <c r="A15" s="5" t="s">
        <v>118</v>
      </c>
      <c r="B15" s="16" t="n">
        <f aca="false">SUM(B12:B14)</f>
        <v>43200</v>
      </c>
      <c r="C15" s="16" t="n">
        <f aca="false">SUM(C12:C14)</f>
        <v>62050</v>
      </c>
      <c r="D15" s="16" t="n">
        <f aca="false">SUM(D12:D14)</f>
        <v>89470</v>
      </c>
    </row>
    <row r="16" customFormat="false" ht="15" hidden="false" customHeight="false" outlineLevel="0" collapsed="false">
      <c r="A16" s="6" t="s">
        <v>119</v>
      </c>
      <c r="B16" s="20" t="n">
        <v>21000</v>
      </c>
      <c r="C16" s="20" t="n">
        <v>21000</v>
      </c>
      <c r="D16" s="20" t="n">
        <v>21000</v>
      </c>
    </row>
    <row r="17" customFormat="false" ht="15" hidden="false" customHeight="false" outlineLevel="0" collapsed="false">
      <c r="A17" s="6" t="s">
        <v>120</v>
      </c>
      <c r="B17" s="20" t="n">
        <v>8800</v>
      </c>
      <c r="C17" s="20" t="n">
        <v>11450</v>
      </c>
      <c r="D17" s="20" t="n">
        <v>9730</v>
      </c>
    </row>
    <row r="18" customFormat="false" ht="15" hidden="false" customHeight="false" outlineLevel="0" collapsed="false">
      <c r="A18" s="5" t="s">
        <v>121</v>
      </c>
      <c r="B18" s="16" t="n">
        <f aca="false">SUM(B16:B17)</f>
        <v>29800</v>
      </c>
      <c r="C18" s="16" t="n">
        <f aca="false">SUM(C16:C17)</f>
        <v>32450</v>
      </c>
      <c r="D18" s="16" t="n">
        <f aca="false">SUM(D16:D17)</f>
        <v>30730</v>
      </c>
    </row>
    <row r="20" customFormat="false" ht="15" hidden="false" customHeight="false" outlineLevel="0" collapsed="false">
      <c r="A20" s="3" t="s">
        <v>122</v>
      </c>
      <c r="B20" s="21" t="n">
        <f aca="false">B11-B15-B18</f>
        <v>0</v>
      </c>
      <c r="C20" s="21" t="n">
        <f aca="false">C11-C15-C18</f>
        <v>0</v>
      </c>
      <c r="D20" s="21" t="n">
        <f aca="false">D11-D15-D18</f>
        <v>0</v>
      </c>
    </row>
    <row r="22" customFormat="false" ht="15" hidden="false" customHeight="false" outlineLevel="0" collapsed="false">
      <c r="A22" s="10" t="s">
        <v>123</v>
      </c>
      <c r="B22" s="10" t="s">
        <v>105</v>
      </c>
      <c r="C22" s="10" t="s">
        <v>106</v>
      </c>
      <c r="D22" s="10" t="s">
        <v>107</v>
      </c>
    </row>
    <row r="23" customFormat="false" ht="15" hidden="false" customHeight="false" outlineLevel="0" collapsed="false">
      <c r="A23" s="6" t="s">
        <v>124</v>
      </c>
      <c r="B23" s="20" t="n">
        <v>52000</v>
      </c>
      <c r="C23" s="20" t="n">
        <v>61000</v>
      </c>
      <c r="D23" s="20" t="n">
        <v>48000</v>
      </c>
    </row>
    <row r="24" customFormat="false" ht="15" hidden="false" customHeight="false" outlineLevel="0" collapsed="false">
      <c r="A24" s="6" t="s">
        <v>125</v>
      </c>
      <c r="B24" s="20" t="n">
        <v>-40600</v>
      </c>
      <c r="C24" s="20" t="n">
        <v>-47000</v>
      </c>
      <c r="D24" s="20" t="n">
        <v>-38900</v>
      </c>
    </row>
    <row r="25" customFormat="false" ht="15" hidden="false" customHeight="false" outlineLevel="0" collapsed="false">
      <c r="A25" s="5" t="s">
        <v>126</v>
      </c>
      <c r="B25" s="22" t="n">
        <f aca="false">B23+B24</f>
        <v>11400</v>
      </c>
      <c r="C25" s="22" t="n">
        <f aca="false">C23+C24</f>
        <v>14000</v>
      </c>
      <c r="D25" s="22" t="n">
        <f aca="false">D23+D24</f>
        <v>9100</v>
      </c>
    </row>
    <row r="26" customFormat="false" ht="15" hidden="false" customHeight="false" outlineLevel="0" collapsed="false">
      <c r="A26" s="6" t="s">
        <v>127</v>
      </c>
      <c r="B26" s="20" t="n">
        <v>-6400</v>
      </c>
      <c r="C26" s="20" t="n">
        <v>-7300</v>
      </c>
      <c r="D26" s="20" t="n">
        <v>-7100</v>
      </c>
    </row>
    <row r="27" customFormat="false" ht="15" hidden="false" customHeight="false" outlineLevel="0" collapsed="false">
      <c r="A27" s="5" t="s">
        <v>128</v>
      </c>
      <c r="B27" s="22" t="n">
        <f aca="false">B25+B26</f>
        <v>5000</v>
      </c>
      <c r="C27" s="22" t="n">
        <f aca="false">C25+C26</f>
        <v>6700</v>
      </c>
      <c r="D27" s="22" t="n">
        <f aca="false">D25+D26</f>
        <v>2000</v>
      </c>
    </row>
    <row r="28" customFormat="false" ht="15" hidden="false" customHeight="false" outlineLevel="0" collapsed="false">
      <c r="A28" s="6" t="s">
        <v>129</v>
      </c>
      <c r="B28" s="20" t="n">
        <v>-1900</v>
      </c>
      <c r="C28" s="20" t="n">
        <v>-2600</v>
      </c>
      <c r="D28" s="20" t="n">
        <v>-3300</v>
      </c>
    </row>
    <row r="29" customFormat="false" ht="15" hidden="false" customHeight="false" outlineLevel="0" collapsed="false">
      <c r="A29" s="5" t="s">
        <v>130</v>
      </c>
      <c r="B29" s="22" t="n">
        <f aca="false">B27+B28</f>
        <v>3100</v>
      </c>
      <c r="C29" s="22" t="n">
        <f aca="false">C27+C28</f>
        <v>4100</v>
      </c>
      <c r="D29" s="22" t="n">
        <f aca="false">D27+D28</f>
        <v>-1300</v>
      </c>
    </row>
    <row r="30" customFormat="false" ht="15" hidden="false" customHeight="false" outlineLevel="0" collapsed="false">
      <c r="A30" s="6" t="s">
        <v>131</v>
      </c>
      <c r="B30" s="20" t="n">
        <v>-1150</v>
      </c>
      <c r="C30" s="20" t="n">
        <v>-1450</v>
      </c>
      <c r="D30" s="20" t="n">
        <v>-420</v>
      </c>
    </row>
    <row r="31" customFormat="false" ht="15" hidden="false" customHeight="false" outlineLevel="0" collapsed="false">
      <c r="A31" s="5" t="s">
        <v>132</v>
      </c>
      <c r="B31" s="16" t="n">
        <f aca="false">B29+B30</f>
        <v>1950</v>
      </c>
      <c r="C31" s="16" t="n">
        <f aca="false">C29+C30</f>
        <v>2650</v>
      </c>
      <c r="D31" s="16" t="n">
        <f aca="false">D29+D30</f>
        <v>-1720</v>
      </c>
    </row>
    <row r="33" customFormat="false" ht="15" hidden="false" customHeight="false" outlineLevel="0" collapsed="false">
      <c r="A33" s="4" t="s">
        <v>133</v>
      </c>
    </row>
    <row r="34" customFormat="false" ht="15" hidden="false" customHeight="false" outlineLevel="0" collapsed="false">
      <c r="A34" s="10" t="s">
        <v>134</v>
      </c>
      <c r="B34" s="10" t="s">
        <v>105</v>
      </c>
      <c r="C34" s="10" t="s">
        <v>106</v>
      </c>
      <c r="D34" s="10" t="s">
        <v>107</v>
      </c>
    </row>
    <row r="35" customFormat="false" ht="15" hidden="false" customHeight="false" outlineLevel="0" collapsed="false">
      <c r="A35" s="6" t="s">
        <v>135</v>
      </c>
      <c r="B35" s="23" t="n">
        <f aca="false">(B5+B6+B7+B8)/(B12+B14)</f>
        <v>2.39179104477612</v>
      </c>
      <c r="C35" s="23" t="n">
        <f aca="false">(C5+C6+C7+C8)/(C12+C14)</f>
        <v>2.22745098039216</v>
      </c>
      <c r="D35" s="23" t="n">
        <f aca="false">(D5+D6+D7+D8)/(D12+D14)</f>
        <v>2.01567340987789</v>
      </c>
    </row>
    <row r="36" customFormat="false" ht="15" hidden="false" customHeight="false" outlineLevel="0" collapsed="false">
      <c r="A36" s="6" t="s">
        <v>136</v>
      </c>
      <c r="B36" s="23" t="n">
        <f aca="false">(B5+B6+B7)/(B12+B14)</f>
        <v>0.861940298507463</v>
      </c>
      <c r="C36" s="23" t="n">
        <f aca="false">(C5+C6+C7)/(C12+C14)</f>
        <v>0.711111111111111</v>
      </c>
      <c r="D36" s="23" t="n">
        <f aca="false">(D5+D6+D7)/(D12+D14)</f>
        <v>0.566794240933115</v>
      </c>
    </row>
    <row r="37" customFormat="false" ht="15" hidden="false" customHeight="false" outlineLevel="0" collapsed="false">
      <c r="A37" s="6" t="s">
        <v>137</v>
      </c>
      <c r="B37" s="15" t="n">
        <f aca="false">B25/B23</f>
        <v>0.219230769230769</v>
      </c>
      <c r="C37" s="15" t="n">
        <f aca="false">C25/C23</f>
        <v>0.229508196721311</v>
      </c>
      <c r="D37" s="15" t="n">
        <f aca="false">D25/D23</f>
        <v>0.189583333333333</v>
      </c>
    </row>
    <row r="38" customFormat="false" ht="15" hidden="false" customHeight="false" outlineLevel="0" collapsed="false">
      <c r="A38" s="6" t="s">
        <v>138</v>
      </c>
      <c r="B38" s="15" t="n">
        <f aca="false">B15/B11</f>
        <v>0.591780821917808</v>
      </c>
      <c r="C38" s="15" t="n">
        <f aca="false">C15/C11</f>
        <v>0.656613756613757</v>
      </c>
      <c r="D38" s="15" t="n">
        <f aca="false">D15/D11</f>
        <v>0.744342762063228</v>
      </c>
    </row>
    <row r="39" customFormat="false" ht="15" hidden="false" customHeight="false" outlineLevel="0" collapsed="false">
      <c r="A39" s="6" t="s">
        <v>139</v>
      </c>
      <c r="B39" s="23" t="n">
        <f aca="false">B13/B18</f>
        <v>0.550335570469799</v>
      </c>
      <c r="C39" s="23" t="n">
        <f aca="false">C13/C18</f>
        <v>0.733436055469954</v>
      </c>
      <c r="D39" s="23" t="n">
        <f aca="false">D13/D18</f>
        <v>1.12593556784901</v>
      </c>
    </row>
    <row r="40" customFormat="false" ht="15" hidden="false" customHeight="false" outlineLevel="0" collapsed="false">
      <c r="A40" s="6" t="s">
        <v>140</v>
      </c>
      <c r="B40" s="23" t="n">
        <f aca="false">-B27/B28</f>
        <v>2.63157894736842</v>
      </c>
      <c r="C40" s="23" t="n">
        <f aca="false">-C27/C28</f>
        <v>2.57692307692308</v>
      </c>
      <c r="D40" s="23" t="n">
        <f aca="false">-D27/D28</f>
        <v>0.606060606060606</v>
      </c>
    </row>
    <row r="41" customFormat="false" ht="15" hidden="false" customHeight="false" outlineLevel="0" collapsed="false">
      <c r="A41" s="6" t="s">
        <v>141</v>
      </c>
      <c r="B41" s="15" t="n">
        <f aca="false">B8/B11</f>
        <v>0.561643835616438</v>
      </c>
      <c r="C41" s="15" t="n">
        <f aca="false">C8/C11</f>
        <v>0.613756613756614</v>
      </c>
      <c r="D41" s="15" t="n">
        <f aca="false">D8/D11</f>
        <v>0.661397670549085</v>
      </c>
    </row>
    <row r="42" customFormat="false" ht="15" hidden="false" customHeight="false" outlineLevel="0" collapsed="false">
      <c r="A42" s="6" t="s">
        <v>142</v>
      </c>
      <c r="B42" s="15" t="n">
        <f aca="false">B31/B18</f>
        <v>0.0654362416107383</v>
      </c>
      <c r="C42" s="15" t="n">
        <f aca="false">C31/C18</f>
        <v>0.0816640986132512</v>
      </c>
      <c r="D42" s="15" t="n">
        <f aca="false">D31/D18</f>
        <v>-0.0559713634884478</v>
      </c>
    </row>
    <row r="43" customFormat="false" ht="15" hidden="false" customHeight="false" outlineLevel="0" collapsed="false">
      <c r="A43" s="3" t="s">
        <v>143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10" min="2" style="1" width="13"/>
  </cols>
  <sheetData>
    <row r="1" customFormat="false" ht="17.35" hidden="false" customHeight="false" outlineLevel="0" collapsed="false">
      <c r="A1" s="2" t="s">
        <v>144</v>
      </c>
    </row>
    <row r="2" customFormat="false" ht="15" hidden="false" customHeight="false" outlineLevel="0" collapsed="false">
      <c r="A2" s="3" t="s">
        <v>145</v>
      </c>
    </row>
    <row r="4" customFormat="false" ht="15" hidden="false" customHeight="false" outlineLevel="0" collapsed="false">
      <c r="A4" s="10" t="s">
        <v>146</v>
      </c>
      <c r="B4" s="10" t="s">
        <v>64</v>
      </c>
      <c r="C4" s="10" t="s">
        <v>65</v>
      </c>
      <c r="D4" s="10" t="s">
        <v>66</v>
      </c>
      <c r="E4" s="10" t="s">
        <v>67</v>
      </c>
      <c r="F4" s="10" t="s">
        <v>68</v>
      </c>
      <c r="G4" s="10" t="s">
        <v>69</v>
      </c>
      <c r="H4" s="10" t="s">
        <v>70</v>
      </c>
      <c r="I4" s="10" t="s">
        <v>71</v>
      </c>
      <c r="J4" s="10" t="s">
        <v>147</v>
      </c>
    </row>
    <row r="5" customFormat="false" ht="15" hidden="false" customHeight="false" outlineLevel="0" collapsed="false">
      <c r="A5" s="6" t="s">
        <v>148</v>
      </c>
      <c r="B5" s="24" t="n">
        <f aca="false">MIN(Supuestos!$B$7,Supuestos!$B$5)</f>
        <v>48</v>
      </c>
      <c r="C5" s="24" t="n">
        <f aca="false">MIN(Supuestos!$B$7,Supuestos!$B$5-SUM($B5:B5))</f>
        <v>48</v>
      </c>
      <c r="D5" s="24" t="n">
        <f aca="false">MIN(Supuestos!$B$7,Supuestos!$B$5-SUM($B5:C5))</f>
        <v>48</v>
      </c>
      <c r="E5" s="24" t="n">
        <f aca="false">MIN(Supuestos!$B$7,Supuestos!$B$5-SUM($B5:D5))</f>
        <v>48</v>
      </c>
      <c r="F5" s="24" t="n">
        <f aca="false">MIN(Supuestos!$B$7,Supuestos!$B$5-SUM($B5:E5))</f>
        <v>48</v>
      </c>
      <c r="G5" s="24" t="n">
        <f aca="false">MIN(Supuestos!$B$7,Supuestos!$B$5-SUM($B5:F5))</f>
        <v>48</v>
      </c>
      <c r="H5" s="24" t="n">
        <f aca="false">MIN(Supuestos!$B$7,Supuestos!$B$5-SUM($B5:G5))</f>
        <v>32</v>
      </c>
      <c r="I5" s="24" t="n">
        <f aca="false">MIN(Supuestos!$B$7,Supuestos!$B$5-SUM($B5:H5))</f>
        <v>0</v>
      </c>
      <c r="J5" s="25" t="n">
        <f aca="false">SUM(B5:I5)</f>
        <v>320</v>
      </c>
    </row>
    <row r="6" customFormat="false" ht="15" hidden="false" customHeight="false" outlineLevel="0" collapsed="false">
      <c r="A6" s="6" t="s">
        <v>149</v>
      </c>
      <c r="B6" s="24" t="n">
        <f aca="false">-B5*Supuestos!$B$8</f>
        <v>-3.84</v>
      </c>
      <c r="C6" s="24" t="n">
        <f aca="false">-C5*Supuestos!$B$8</f>
        <v>-3.84</v>
      </c>
      <c r="D6" s="24" t="n">
        <f aca="false">-D5*Supuestos!$B$8</f>
        <v>-3.84</v>
      </c>
      <c r="E6" s="24" t="n">
        <f aca="false">-E5*Supuestos!$B$8</f>
        <v>-3.84</v>
      </c>
      <c r="F6" s="24" t="n">
        <f aca="false">-F5*Supuestos!$B$8</f>
        <v>-3.84</v>
      </c>
      <c r="G6" s="24" t="n">
        <f aca="false">-G5*Supuestos!$B$8</f>
        <v>-3.84</v>
      </c>
      <c r="H6" s="24" t="n">
        <f aca="false">-H5*Supuestos!$B$8</f>
        <v>-2.56</v>
      </c>
      <c r="I6" s="24" t="n">
        <f aca="false">-I5*Supuestos!$B$8</f>
        <v>-0</v>
      </c>
      <c r="J6" s="25" t="n">
        <f aca="false">SUM(B6:I6)</f>
        <v>-25.6</v>
      </c>
    </row>
    <row r="7" customFormat="false" ht="15" hidden="false" customHeight="false" outlineLevel="0" collapsed="false">
      <c r="A7" s="5" t="s">
        <v>150</v>
      </c>
      <c r="B7" s="26" t="n">
        <f aca="false">B5+B6</f>
        <v>44.16</v>
      </c>
      <c r="C7" s="26" t="n">
        <f aca="false">C5+C6</f>
        <v>44.16</v>
      </c>
      <c r="D7" s="26" t="n">
        <f aca="false">D5+D6</f>
        <v>44.16</v>
      </c>
      <c r="E7" s="26" t="n">
        <f aca="false">E5+E6</f>
        <v>44.16</v>
      </c>
      <c r="F7" s="26" t="n">
        <f aca="false">F5+F6</f>
        <v>44.16</v>
      </c>
      <c r="G7" s="26" t="n">
        <f aca="false">G5+G6</f>
        <v>44.16</v>
      </c>
      <c r="H7" s="26" t="n">
        <f aca="false">H5+H6</f>
        <v>29.44</v>
      </c>
      <c r="I7" s="26" t="n">
        <f aca="false">I5+I6</f>
        <v>0</v>
      </c>
      <c r="J7" s="25" t="n">
        <f aca="false">SUM(B7:I7)</f>
        <v>294.4</v>
      </c>
    </row>
    <row r="8" customFormat="false" ht="15" hidden="false" customHeight="false" outlineLevel="0" collapsed="false">
      <c r="A8" s="6" t="s">
        <v>151</v>
      </c>
      <c r="B8" s="24" t="n">
        <f aca="false">SUM($B7:B7)</f>
        <v>44.16</v>
      </c>
      <c r="C8" s="24" t="n">
        <f aca="false">SUM($B7:C7)</f>
        <v>88.32</v>
      </c>
      <c r="D8" s="24" t="n">
        <f aca="false">SUM($B7:D7)</f>
        <v>132.48</v>
      </c>
      <c r="E8" s="24" t="n">
        <f aca="false">SUM($B7:E7)</f>
        <v>176.64</v>
      </c>
      <c r="F8" s="24" t="n">
        <f aca="false">SUM($B7:F7)</f>
        <v>220.8</v>
      </c>
      <c r="G8" s="24" t="n">
        <f aca="false">SUM($B7:G7)</f>
        <v>264.96</v>
      </c>
      <c r="H8" s="24" t="n">
        <f aca="false">SUM($B7:H7)</f>
        <v>294.4</v>
      </c>
      <c r="I8" s="24" t="n">
        <f aca="false">SUM($B7:I7)</f>
        <v>294.4</v>
      </c>
    </row>
    <row r="9" customFormat="false" ht="15" hidden="false" customHeight="false" outlineLevel="0" collapsed="false">
      <c r="A9" s="5" t="s">
        <v>152</v>
      </c>
      <c r="B9" s="26" t="n">
        <f aca="false">MIN(B8,ROUND(Supuestos!$B$5*(1-Supuestos!$B$8)*Supuestos!B$24,0))</f>
        <v>0</v>
      </c>
      <c r="C9" s="26" t="n">
        <f aca="false">MIN(C8-SUM($B9:B9),ROUND(Supuestos!$B$5*(1-Supuestos!$B$8)*Supuestos!C$24,0))</f>
        <v>0</v>
      </c>
      <c r="D9" s="26" t="n">
        <f aca="false">MIN(D8-SUM($B9:C9),ROUND(Supuestos!$B$5*(1-Supuestos!$B$8)*Supuestos!D$24,0))</f>
        <v>0</v>
      </c>
      <c r="E9" s="26" t="n">
        <f aca="false">MIN(E8-SUM($B9:D9),ROUND(Supuestos!$B$5*(1-Supuestos!$B$8)*Supuestos!E$24,0))</f>
        <v>0</v>
      </c>
      <c r="F9" s="26" t="n">
        <f aca="false">MIN(F8-SUM($B9:E9),ROUND(Supuestos!$B$5*(1-Supuestos!$B$8)*Supuestos!F$24,0))</f>
        <v>82</v>
      </c>
      <c r="G9" s="26" t="n">
        <f aca="false">MIN(G8-SUM($B9:F9),ROUND(Supuestos!$B$5*(1-Supuestos!$B$8)*Supuestos!G$24,0))</f>
        <v>82</v>
      </c>
      <c r="H9" s="26" t="n">
        <f aca="false">MIN(H8-SUM($B9:G9),ROUND(Supuestos!$B$5*(1-Supuestos!$B$8)*Supuestos!H$24,0))</f>
        <v>65</v>
      </c>
      <c r="I9" s="26" t="n">
        <f aca="false">MIN(I8-SUM($B9:H9),ROUND(Supuestos!$B$5*(1-Supuestos!$B$8)*Supuestos!I$24,0))</f>
        <v>65</v>
      </c>
      <c r="J9" s="25" t="n">
        <f aca="false">SUM(B9:I9)</f>
        <v>294</v>
      </c>
    </row>
    <row r="11" customFormat="false" ht="15" hidden="false" customHeight="false" outlineLevel="0" collapsed="false">
      <c r="A11" s="4" t="s">
        <v>153</v>
      </c>
    </row>
    <row r="12" customFormat="false" ht="15" hidden="false" customHeight="false" outlineLevel="0" collapsed="false">
      <c r="A12" s="6" t="s">
        <v>154</v>
      </c>
      <c r="B12" s="18" t="n">
        <f aca="false">B7*Supuestos!$B$6*Supuestos!$B$16</f>
        <v>6557.76</v>
      </c>
      <c r="C12" s="18" t="n">
        <f aca="false">C7*Supuestos!$B$6*Supuestos!$B$16</f>
        <v>6557.76</v>
      </c>
      <c r="D12" s="18" t="n">
        <f aca="false">D7*Supuestos!$B$6*Supuestos!$B$16</f>
        <v>6557.76</v>
      </c>
      <c r="E12" s="18" t="n">
        <f aca="false">E7*Supuestos!$B$6*Supuestos!$B$16</f>
        <v>6557.76</v>
      </c>
      <c r="F12" s="18" t="n">
        <f aca="false">F7*Supuestos!$B$6*Supuestos!$B$16</f>
        <v>6557.76</v>
      </c>
      <c r="G12" s="18" t="n">
        <f aca="false">G7*Supuestos!$B$6*Supuestos!$B$16</f>
        <v>6557.76</v>
      </c>
      <c r="H12" s="18" t="n">
        <f aca="false">H7*Supuestos!$B$6*Supuestos!$B$16</f>
        <v>4371.84</v>
      </c>
      <c r="I12" s="18" t="n">
        <f aca="false">I7*Supuestos!$B$6*Supuestos!$B$16</f>
        <v>0</v>
      </c>
      <c r="J12" s="16" t="n">
        <f aca="false">SUM(B12:I12)</f>
        <v>43718.4</v>
      </c>
    </row>
    <row r="13" customFormat="false" ht="15" hidden="false" customHeight="false" outlineLevel="0" collapsed="false">
      <c r="A13" s="6" t="s">
        <v>155</v>
      </c>
      <c r="B13" s="18" t="n">
        <f aca="false">B9*Supuestos!$B$6*(1-Supuestos!$B$16)</f>
        <v>0</v>
      </c>
      <c r="C13" s="18" t="n">
        <f aca="false">C9*Supuestos!$B$6*(1-Supuestos!$B$16)</f>
        <v>0</v>
      </c>
      <c r="D13" s="18" t="n">
        <f aca="false">D9*Supuestos!$B$6*(1-Supuestos!$B$16)</f>
        <v>0</v>
      </c>
      <c r="E13" s="18" t="n">
        <f aca="false">E9*Supuestos!$B$6*(1-Supuestos!$B$16)</f>
        <v>0</v>
      </c>
      <c r="F13" s="18" t="n">
        <f aca="false">F9*Supuestos!$B$6*(1-Supuestos!$B$16)</f>
        <v>28413</v>
      </c>
      <c r="G13" s="18" t="n">
        <f aca="false">G9*Supuestos!$B$6*(1-Supuestos!$B$16)</f>
        <v>28413</v>
      </c>
      <c r="H13" s="18" t="n">
        <f aca="false">H9*Supuestos!$B$6*(1-Supuestos!$B$16)</f>
        <v>22522.5</v>
      </c>
      <c r="I13" s="18" t="n">
        <f aca="false">I9*Supuestos!$B$6*(1-Supuestos!$B$16)</f>
        <v>22522.5</v>
      </c>
      <c r="J13" s="16" t="n">
        <f aca="false">SUM(B13:I13)</f>
        <v>101871</v>
      </c>
    </row>
    <row r="14" customFormat="false" ht="15" hidden="false" customHeight="false" outlineLevel="0" collapsed="false">
      <c r="A14" s="5" t="s">
        <v>156</v>
      </c>
      <c r="B14" s="27" t="n">
        <f aca="false">B12+B13</f>
        <v>6557.76</v>
      </c>
      <c r="C14" s="27" t="n">
        <f aca="false">C12+C13</f>
        <v>6557.76</v>
      </c>
      <c r="D14" s="27" t="n">
        <f aca="false">D12+D13</f>
        <v>6557.76</v>
      </c>
      <c r="E14" s="27" t="n">
        <f aca="false">E12+E13</f>
        <v>6557.76</v>
      </c>
      <c r="F14" s="27" t="n">
        <f aca="false">F12+F13</f>
        <v>34970.76</v>
      </c>
      <c r="G14" s="27" t="n">
        <f aca="false">G12+G13</f>
        <v>34970.76</v>
      </c>
      <c r="H14" s="27" t="n">
        <f aca="false">H12+H13</f>
        <v>26894.34</v>
      </c>
      <c r="I14" s="27" t="n">
        <f aca="false">I12+I13</f>
        <v>22522.5</v>
      </c>
      <c r="J14" s="16" t="n">
        <f aca="false">SUM(B14:I14)</f>
        <v>145589.4</v>
      </c>
    </row>
    <row r="16" customFormat="false" ht="15" hidden="false" customHeight="false" outlineLevel="0" collapsed="false">
      <c r="A16" s="4" t="s">
        <v>157</v>
      </c>
    </row>
    <row r="17" customFormat="false" ht="15" hidden="false" customHeight="false" outlineLevel="0" collapsed="false">
      <c r="A17" s="6" t="s">
        <v>46</v>
      </c>
      <c r="B17" s="18" t="n">
        <f aca="false">-Supuestos!$B$10*Supuestos!B$20</f>
        <v>-3950</v>
      </c>
      <c r="C17" s="18" t="n">
        <f aca="false">-Supuestos!$B$10*Supuestos!C$20</f>
        <v>-9480</v>
      </c>
      <c r="D17" s="18" t="n">
        <f aca="false">-Supuestos!$B$10*Supuestos!D$20</f>
        <v>-14220</v>
      </c>
      <c r="E17" s="18" t="n">
        <f aca="false">-Supuestos!$B$10*Supuestos!E$20</f>
        <v>-17380</v>
      </c>
      <c r="F17" s="18" t="n">
        <f aca="false">-Supuestos!$B$10*Supuestos!F$20</f>
        <v>-15800</v>
      </c>
      <c r="G17" s="18" t="n">
        <f aca="false">-Supuestos!$B$10*Supuestos!G$20</f>
        <v>-10270</v>
      </c>
      <c r="H17" s="18" t="n">
        <f aca="false">-Supuestos!$B$10*Supuestos!H$20</f>
        <v>-5530</v>
      </c>
      <c r="I17" s="18" t="n">
        <f aca="false">-Supuestos!$B$10*Supuestos!I$20</f>
        <v>-2370</v>
      </c>
      <c r="J17" s="16" t="n">
        <f aca="false">SUM(B17:I17)</f>
        <v>-79000</v>
      </c>
    </row>
    <row r="18" customFormat="false" ht="15" hidden="false" customHeight="false" outlineLevel="0" collapsed="false">
      <c r="A18" s="6" t="s">
        <v>82</v>
      </c>
      <c r="B18" s="18" t="n">
        <f aca="false">-Supuestos!$B$9</f>
        <v>-18000</v>
      </c>
      <c r="C18" s="18" t="n">
        <f aca="false">0</f>
        <v>0</v>
      </c>
      <c r="D18" s="18" t="n">
        <f aca="false">0</f>
        <v>0</v>
      </c>
      <c r="E18" s="18" t="n">
        <f aca="false">0</f>
        <v>0</v>
      </c>
      <c r="F18" s="18" t="n">
        <f aca="false">0</f>
        <v>0</v>
      </c>
      <c r="G18" s="18" t="n">
        <f aca="false">0</f>
        <v>0</v>
      </c>
      <c r="H18" s="18" t="n">
        <f aca="false">0</f>
        <v>0</v>
      </c>
      <c r="I18" s="18" t="n">
        <f aca="false">0</f>
        <v>0</v>
      </c>
      <c r="J18" s="16" t="n">
        <f aca="false">SUM(B18:I18)</f>
        <v>-18000</v>
      </c>
    </row>
    <row r="19" customFormat="false" ht="15" hidden="false" customHeight="false" outlineLevel="0" collapsed="false">
      <c r="A19" s="6" t="s">
        <v>48</v>
      </c>
      <c r="B19" s="18" t="n">
        <f aca="false">-Supuestos!$B$11/8</f>
        <v>-1562.5</v>
      </c>
      <c r="C19" s="18" t="n">
        <f aca="false">-Supuestos!$B$11/8</f>
        <v>-1562.5</v>
      </c>
      <c r="D19" s="18" t="n">
        <f aca="false">-Supuestos!$B$11/8</f>
        <v>-1562.5</v>
      </c>
      <c r="E19" s="18" t="n">
        <f aca="false">-Supuestos!$B$11/8</f>
        <v>-1562.5</v>
      </c>
      <c r="F19" s="18" t="n">
        <f aca="false">-Supuestos!$B$11/8</f>
        <v>-1562.5</v>
      </c>
      <c r="G19" s="18" t="n">
        <f aca="false">-Supuestos!$B$11/8</f>
        <v>-1562.5</v>
      </c>
      <c r="H19" s="18" t="n">
        <f aca="false">-Supuestos!$B$11/8</f>
        <v>-1562.5</v>
      </c>
      <c r="I19" s="18" t="n">
        <f aca="false">-Supuestos!$B$11/8</f>
        <v>-1562.5</v>
      </c>
      <c r="J19" s="16" t="n">
        <f aca="false">SUM(B19:I19)</f>
        <v>-12500</v>
      </c>
    </row>
    <row r="20" customFormat="false" ht="15" hidden="false" customHeight="false" outlineLevel="0" collapsed="false">
      <c r="A20" s="6" t="s">
        <v>50</v>
      </c>
      <c r="B20" s="18" t="n">
        <f aca="false">-Supuestos!$B$12/8</f>
        <v>-850</v>
      </c>
      <c r="C20" s="18" t="n">
        <f aca="false">-Supuestos!$B$12/8</f>
        <v>-850</v>
      </c>
      <c r="D20" s="18" t="n">
        <f aca="false">-Supuestos!$B$12/8</f>
        <v>-850</v>
      </c>
      <c r="E20" s="18" t="n">
        <f aca="false">-Supuestos!$B$12/8</f>
        <v>-850</v>
      </c>
      <c r="F20" s="18" t="n">
        <f aca="false">-Supuestos!$B$12/8</f>
        <v>-850</v>
      </c>
      <c r="G20" s="18" t="n">
        <f aca="false">-Supuestos!$B$12/8</f>
        <v>-850</v>
      </c>
      <c r="H20" s="18" t="n">
        <f aca="false">-Supuestos!$B$12/8</f>
        <v>-850</v>
      </c>
      <c r="I20" s="18" t="n">
        <f aca="false">-Supuestos!$B$12/8</f>
        <v>-850</v>
      </c>
      <c r="J20" s="16" t="n">
        <f aca="false">SUM(B20:I20)</f>
        <v>-6800</v>
      </c>
    </row>
    <row r="21" customFormat="false" ht="15" hidden="false" customHeight="false" outlineLevel="0" collapsed="false">
      <c r="A21" s="5" t="s">
        <v>158</v>
      </c>
      <c r="B21" s="27" t="n">
        <f aca="false">SUM(B17:B20)</f>
        <v>-24362.5</v>
      </c>
      <c r="C21" s="27" t="n">
        <f aca="false">SUM(C17:C20)</f>
        <v>-11892.5</v>
      </c>
      <c r="D21" s="27" t="n">
        <f aca="false">SUM(D17:D20)</f>
        <v>-16632.5</v>
      </c>
      <c r="E21" s="27" t="n">
        <f aca="false">SUM(E17:E20)</f>
        <v>-19792.5</v>
      </c>
      <c r="F21" s="27" t="n">
        <f aca="false">SUM(F17:F20)</f>
        <v>-18212.5</v>
      </c>
      <c r="G21" s="27" t="n">
        <f aca="false">SUM(G17:G20)</f>
        <v>-12682.5</v>
      </c>
      <c r="H21" s="27" t="n">
        <f aca="false">SUM(H17:H20)</f>
        <v>-7942.5</v>
      </c>
      <c r="I21" s="27" t="n">
        <f aca="false">SUM(I17:I20)</f>
        <v>-4782.5</v>
      </c>
      <c r="J21" s="16" t="n">
        <f aca="false">SUM(B21:I21)</f>
        <v>-116300</v>
      </c>
    </row>
    <row r="22" customFormat="false" ht="15" hidden="false" customHeight="false" outlineLevel="0" collapsed="false">
      <c r="A22" s="5" t="s">
        <v>159</v>
      </c>
      <c r="B22" s="27" t="n">
        <f aca="false">B14+B21</f>
        <v>-17804.74</v>
      </c>
      <c r="C22" s="27" t="n">
        <f aca="false">C14+C21</f>
        <v>-5334.74</v>
      </c>
      <c r="D22" s="27" t="n">
        <f aca="false">D14+D21</f>
        <v>-10074.74</v>
      </c>
      <c r="E22" s="27" t="n">
        <f aca="false">E14+E21</f>
        <v>-13234.74</v>
      </c>
      <c r="F22" s="27" t="n">
        <f aca="false">F14+F21</f>
        <v>16758.26</v>
      </c>
      <c r="G22" s="27" t="n">
        <f aca="false">G14+G21</f>
        <v>22288.26</v>
      </c>
      <c r="H22" s="27" t="n">
        <f aca="false">H14+H21</f>
        <v>18951.84</v>
      </c>
      <c r="I22" s="27" t="n">
        <f aca="false">I14+I21</f>
        <v>17740</v>
      </c>
      <c r="J22" s="16" t="n">
        <f aca="false">SUM(B22:I22)</f>
        <v>29289.4</v>
      </c>
    </row>
    <row r="24" customFormat="false" ht="15" hidden="false" customHeight="false" outlineLevel="0" collapsed="false">
      <c r="A24" s="4" t="s">
        <v>160</v>
      </c>
    </row>
    <row r="25" customFormat="false" ht="15" hidden="false" customHeight="false" outlineLevel="0" collapsed="false">
      <c r="A25" s="6" t="s">
        <v>57</v>
      </c>
      <c r="B25" s="18" t="n">
        <f aca="false">Supuestos!$B$15*0.6</f>
        <v>18000</v>
      </c>
      <c r="C25" s="18" t="n">
        <f aca="false">Supuestos!$B$15*0.4</f>
        <v>12000</v>
      </c>
      <c r="D25" s="18" t="n">
        <f aca="false">0</f>
        <v>0</v>
      </c>
      <c r="E25" s="18" t="n">
        <f aca="false">0</f>
        <v>0</v>
      </c>
      <c r="F25" s="18" t="n">
        <f aca="false">0</f>
        <v>0</v>
      </c>
      <c r="G25" s="18" t="n">
        <f aca="false">0</f>
        <v>0</v>
      </c>
      <c r="H25" s="18" t="n">
        <f aca="false">0</f>
        <v>0</v>
      </c>
      <c r="I25" s="18" t="n">
        <f aca="false">0</f>
        <v>0</v>
      </c>
      <c r="J25" s="16" t="n">
        <f aca="false">SUM(B25:I25)</f>
        <v>30000</v>
      </c>
    </row>
    <row r="26" customFormat="false" ht="15" hidden="false" customHeight="false" outlineLevel="0" collapsed="false">
      <c r="A26" s="6" t="s">
        <v>161</v>
      </c>
      <c r="B26" s="18" t="n">
        <f aca="false">0</f>
        <v>0</v>
      </c>
      <c r="C26" s="18" t="n">
        <f aca="false">B30</f>
        <v>0</v>
      </c>
      <c r="D26" s="18" t="n">
        <f aca="false">C30</f>
        <v>0</v>
      </c>
      <c r="E26" s="18" t="n">
        <f aca="false">D30</f>
        <v>3214.22</v>
      </c>
      <c r="F26" s="18" t="n">
        <f aca="false">E30</f>
        <v>16566.7814595135</v>
      </c>
      <c r="G26" s="18" t="n">
        <f aca="false">F30</f>
        <v>11596.7470216594</v>
      </c>
      <c r="H26" s="18" t="n">
        <f aca="false">G30</f>
        <v>6626.71258380538</v>
      </c>
      <c r="I26" s="18" t="n">
        <f aca="false">H30</f>
        <v>2485.01721892702</v>
      </c>
    </row>
    <row r="27" customFormat="false" ht="15" hidden="false" customHeight="false" outlineLevel="0" collapsed="false">
      <c r="A27" s="6" t="s">
        <v>162</v>
      </c>
      <c r="B27" s="18" t="n">
        <f aca="false">MAX(0,MIN(-(B22+B25+0),Supuestos!$B$14-B26))</f>
        <v>0</v>
      </c>
      <c r="C27" s="18" t="n">
        <f aca="false">MAX(0,MIN(-(C22+C25+B31),Supuestos!$B$14-C26))</f>
        <v>0</v>
      </c>
      <c r="D27" s="18" t="n">
        <f aca="false">MAX(0,MIN(-(D22+D25+C31),Supuestos!$B$14-D26))</f>
        <v>3214.22</v>
      </c>
      <c r="E27" s="18" t="n">
        <f aca="false">MAX(0,MIN(-(E22+E25+D31),Supuestos!$B$14-E26))</f>
        <v>13352.5614595135</v>
      </c>
      <c r="F27" s="18" t="n">
        <f aca="false">MAX(0,MIN(-(F22+F25+E31),Supuestos!$B$14-F26))</f>
        <v>0</v>
      </c>
      <c r="G27" s="18" t="n">
        <f aca="false">MAX(0,MIN(-(G22+G25+F31),Supuestos!$B$14-G26))</f>
        <v>0</v>
      </c>
      <c r="H27" s="18" t="n">
        <f aca="false">MAX(0,MIN(-(H22+H25+G31),Supuestos!$B$14-H26))</f>
        <v>0</v>
      </c>
      <c r="I27" s="18" t="n">
        <f aca="false">MAX(0,MIN(-(I22+I25+H31),Supuestos!$B$14-I26))</f>
        <v>0</v>
      </c>
      <c r="J27" s="16" t="n">
        <f aca="false">SUM(B27:I27)</f>
        <v>16566.7814595135</v>
      </c>
    </row>
    <row r="28" customFormat="false" ht="15" hidden="false" customHeight="false" outlineLevel="0" collapsed="false">
      <c r="A28" s="6" t="s">
        <v>163</v>
      </c>
      <c r="B28" s="18" t="n">
        <f aca="false">-(B26+B27/2)*((1+Supuestos!$B$13)^0.5-1)</f>
        <v>-0</v>
      </c>
      <c r="C28" s="18" t="n">
        <f aca="false">-(C26+C27/2)*((1+Supuestos!$B$13)^0.5-1)</f>
        <v>-0</v>
      </c>
      <c r="D28" s="18" t="n">
        <f aca="false">-(D26+D27/2)*((1+Supuestos!$B$13)^0.5-1)</f>
        <v>-117.82145951345</v>
      </c>
      <c r="E28" s="18" t="n">
        <f aca="false">-(E26+E27/2)*((1+Supuestos!$B$13)^0.5-1)</f>
        <v>-725.098612601987</v>
      </c>
      <c r="F28" s="18" t="n">
        <f aca="false">-(F26+F27/2)*((1+Supuestos!$B$13)^0.5-1)</f>
        <v>-1214.55430617707</v>
      </c>
      <c r="G28" s="18" t="n">
        <f aca="false">-(G26+G27/2)*((1+Supuestos!$B$13)^0.5-1)</f>
        <v>-850.188014323951</v>
      </c>
      <c r="H28" s="18" t="n">
        <f aca="false">-(H26+H27/2)*((1+Supuestos!$B$13)^0.5-1)</f>
        <v>-485.821722470829</v>
      </c>
      <c r="I28" s="18" t="n">
        <f aca="false">-(I26+I27/2)*((1+Supuestos!$B$13)^0.5-1)</f>
        <v>-182.183145926561</v>
      </c>
      <c r="J28" s="16" t="n">
        <f aca="false">SUM(B28:I28)</f>
        <v>-3575.66726101385</v>
      </c>
    </row>
    <row r="29" customFormat="false" ht="15" hidden="false" customHeight="false" outlineLevel="0" collapsed="false">
      <c r="A29" s="6" t="s">
        <v>164</v>
      </c>
      <c r="B29" s="18" t="n">
        <f aca="false">0</f>
        <v>0</v>
      </c>
      <c r="C29" s="18" t="n">
        <f aca="false">0</f>
        <v>0</v>
      </c>
      <c r="D29" s="18" t="n">
        <f aca="false">0</f>
        <v>0</v>
      </c>
      <c r="E29" s="18" t="n">
        <f aca="false">0</f>
        <v>0</v>
      </c>
      <c r="F29" s="18" t="n">
        <f aca="false">-MIN(F26+F27,$E$30*Supuestos!F$28)</f>
        <v>-4970.03443785404</v>
      </c>
      <c r="G29" s="18" t="n">
        <f aca="false">-MIN(G26+G27,$E$30*Supuestos!G$28)</f>
        <v>-4970.03443785404</v>
      </c>
      <c r="H29" s="18" t="n">
        <f aca="false">-MIN(H26+H27,$E$30*Supuestos!H$28)</f>
        <v>-4141.69536487836</v>
      </c>
      <c r="I29" s="18" t="n">
        <f aca="false">-MIN(I26+I27,$E$30*Supuestos!I$28)</f>
        <v>-2485.01721892702</v>
      </c>
      <c r="J29" s="16" t="n">
        <f aca="false">SUM(B29:I29)</f>
        <v>-16566.7814595135</v>
      </c>
    </row>
    <row r="30" customFormat="false" ht="15" hidden="false" customHeight="false" outlineLevel="0" collapsed="false">
      <c r="A30" s="5" t="s">
        <v>165</v>
      </c>
      <c r="B30" s="27" t="n">
        <f aca="false">B26+B27+B29</f>
        <v>0</v>
      </c>
      <c r="C30" s="27" t="n">
        <f aca="false">C26+C27+C29</f>
        <v>0</v>
      </c>
      <c r="D30" s="27" t="n">
        <f aca="false">D26+D27+D29</f>
        <v>3214.22</v>
      </c>
      <c r="E30" s="27" t="n">
        <f aca="false">E26+E27+E29</f>
        <v>16566.7814595135</v>
      </c>
      <c r="F30" s="27" t="n">
        <f aca="false">F26+F27+F29</f>
        <v>11596.7470216594</v>
      </c>
      <c r="G30" s="27" t="n">
        <f aca="false">G26+G27+G29</f>
        <v>6626.71258380538</v>
      </c>
      <c r="H30" s="27" t="n">
        <f aca="false">H26+H27+H29</f>
        <v>2485.01721892702</v>
      </c>
      <c r="I30" s="27" t="n">
        <f aca="false">I26+I27+I29</f>
        <v>0</v>
      </c>
    </row>
    <row r="31" customFormat="false" ht="15" hidden="false" customHeight="false" outlineLevel="0" collapsed="false">
      <c r="A31" s="5" t="s">
        <v>166</v>
      </c>
      <c r="B31" s="27" t="n">
        <f aca="false">0+B22+B25+B27+B28+B29</f>
        <v>195.259999999998</v>
      </c>
      <c r="C31" s="27" t="n">
        <f aca="false">B31+C22+C25+C27+C28+C29</f>
        <v>6860.52</v>
      </c>
      <c r="D31" s="27" t="n">
        <f aca="false">C31+D22+D25+D27+D28+D29</f>
        <v>-117.82145951345</v>
      </c>
      <c r="E31" s="27" t="n">
        <f aca="false">D31+E22+E25+E27+E28+E29</f>
        <v>-725.098612601987</v>
      </c>
      <c r="F31" s="27" t="n">
        <f aca="false">E31+F22+F25+F27+F28+F29</f>
        <v>9848.5726433669</v>
      </c>
      <c r="G31" s="27" t="n">
        <f aca="false">F31+G22+G25+G27+G28+G29</f>
        <v>26316.6101911889</v>
      </c>
      <c r="H31" s="27" t="n">
        <f aca="false">G31+H22+H25+H27+H28+H29</f>
        <v>40640.9331038397</v>
      </c>
      <c r="I31" s="27" t="n">
        <f aca="false">H31+I22+I25+I27+I28+I29</f>
        <v>55713.7327389862</v>
      </c>
    </row>
    <row r="33" customFormat="false" ht="15" hidden="false" customHeight="false" outlineLevel="0" collapsed="false">
      <c r="A33" s="4" t="s">
        <v>167</v>
      </c>
    </row>
    <row r="34" customFormat="false" ht="15" hidden="false" customHeight="false" outlineLevel="0" collapsed="false">
      <c r="A34" s="6" t="s">
        <v>168</v>
      </c>
      <c r="B34" s="18" t="n">
        <f aca="false">-(B28+B29)</f>
        <v>-0</v>
      </c>
      <c r="C34" s="18" t="n">
        <f aca="false">-(C28+C29)</f>
        <v>-0</v>
      </c>
      <c r="D34" s="18" t="n">
        <f aca="false">-(D28+D29)</f>
        <v>117.82145951345</v>
      </c>
      <c r="E34" s="18" t="n">
        <f aca="false">-(E28+E29)</f>
        <v>725.098612601987</v>
      </c>
      <c r="F34" s="18" t="n">
        <f aca="false">-(F28+F29)</f>
        <v>6184.58874403111</v>
      </c>
      <c r="G34" s="18" t="n">
        <f aca="false">-(G28+G29)</f>
        <v>5820.22245217799</v>
      </c>
      <c r="H34" s="18" t="n">
        <f aca="false">-(H28+H29)</f>
        <v>4627.51708734919</v>
      </c>
      <c r="I34" s="18" t="n">
        <f aca="false">-(I28+I29)</f>
        <v>2667.20036485358</v>
      </c>
      <c r="J34" s="16" t="n">
        <f aca="false">SUM(B34:I34)</f>
        <v>20142.4487205273</v>
      </c>
    </row>
    <row r="35" customFormat="false" ht="15" hidden="false" customHeight="false" outlineLevel="0" collapsed="false">
      <c r="A35" s="5" t="s">
        <v>169</v>
      </c>
      <c r="B35" s="28" t="str">
        <f aca="false">IF(OR(B34&lt;100,B22&lt;=0),"n.a.",B22/B34)</f>
        <v>n.a.</v>
      </c>
      <c r="C35" s="28" t="str">
        <f aca="false">IF(OR(C34&lt;100,C22&lt;=0),"n.a.",C22/C34)</f>
        <v>n.a.</v>
      </c>
      <c r="D35" s="28" t="str">
        <f aca="false">IF(OR(D34&lt;100,D22&lt;=0),"n.a.",D22/D34)</f>
        <v>n.a.</v>
      </c>
      <c r="E35" s="28" t="str">
        <f aca="false">IF(OR(E34&lt;100,E22&lt;=0),"n.a.",E22/E34)</f>
        <v>n.a.</v>
      </c>
      <c r="F35" s="28" t="n">
        <f aca="false">IF(OR(F34&lt;100,F22&lt;=0),"n.a.",F22/F34)</f>
        <v>2.70968057757661</v>
      </c>
      <c r="G35" s="28" t="n">
        <f aca="false">IF(OR(G34&lt;100,G22&lt;=0),"n.a.",G22/G34)</f>
        <v>3.82945156875568</v>
      </c>
      <c r="H35" s="28" t="n">
        <f aca="false">IF(OR(H34&lt;100,H22&lt;=0),"n.a.",H22/H34)</f>
        <v>4.09546623864684</v>
      </c>
      <c r="I35" s="28" t="n">
        <f aca="false">IF(OR(I34&lt;100,I22&lt;=0),"n.a.",I22/I34)</f>
        <v>6.65116885621522</v>
      </c>
    </row>
    <row r="36" customFormat="false" ht="15" hidden="false" customHeight="false" outlineLevel="0" collapsed="false">
      <c r="A36" s="6" t="s">
        <v>170</v>
      </c>
      <c r="B36" s="15" t="n">
        <f aca="false">B30/Presupuesto!$B$10</f>
        <v>0</v>
      </c>
      <c r="C36" s="15" t="n">
        <f aca="false">C30/Presupuesto!$B$10</f>
        <v>0</v>
      </c>
      <c r="D36" s="15" t="n">
        <f aca="false">D30/Presupuesto!$B$10</f>
        <v>0.0268128733024125</v>
      </c>
      <c r="E36" s="15" t="n">
        <f aca="false">E30/Presupuesto!$B$10</f>
        <v>0.138199318124674</v>
      </c>
      <c r="F36" s="15" t="n">
        <f aca="false">F30/Presupuesto!$B$10</f>
        <v>0.096739522687272</v>
      </c>
      <c r="G36" s="15" t="n">
        <f aca="false">G30/Presupuesto!$B$10</f>
        <v>0.0552797272498697</v>
      </c>
      <c r="H36" s="15" t="n">
        <f aca="false">H30/Presupuesto!$B$10</f>
        <v>0.0207298977187011</v>
      </c>
      <c r="I36" s="15" t="n">
        <f aca="false">I30/Presupuesto!$B$10</f>
        <v>0</v>
      </c>
    </row>
    <row r="38" customFormat="false" ht="15" hidden="false" customHeight="false" outlineLevel="0" collapsed="false">
      <c r="A38" s="3" t="s">
        <v>171</v>
      </c>
    </row>
    <row r="39" customFormat="false" ht="15" hidden="false" customHeight="false" outlineLevel="0" collapsed="false">
      <c r="A39" s="3" t="s">
        <v>172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10" min="2" style="1" width="13"/>
  </cols>
  <sheetData>
    <row r="1" customFormat="false" ht="17.35" hidden="false" customHeight="false" outlineLevel="0" collapsed="false">
      <c r="A1" s="2" t="s">
        <v>173</v>
      </c>
    </row>
    <row r="2" customFormat="false" ht="15" hidden="false" customHeight="false" outlineLevel="0" collapsed="false">
      <c r="A2" s="3" t="s">
        <v>174</v>
      </c>
    </row>
    <row r="4" customFormat="false" ht="15" hidden="false" customHeight="false" outlineLevel="0" collapsed="false">
      <c r="A4" s="10" t="s">
        <v>146</v>
      </c>
      <c r="B4" s="10" t="s">
        <v>64</v>
      </c>
      <c r="C4" s="10" t="s">
        <v>65</v>
      </c>
      <c r="D4" s="10" t="s">
        <v>66</v>
      </c>
      <c r="E4" s="10" t="s">
        <v>67</v>
      </c>
      <c r="F4" s="10" t="s">
        <v>68</v>
      </c>
      <c r="G4" s="10" t="s">
        <v>69</v>
      </c>
      <c r="H4" s="10" t="s">
        <v>70</v>
      </c>
      <c r="I4" s="10" t="s">
        <v>71</v>
      </c>
      <c r="J4" s="10" t="s">
        <v>147</v>
      </c>
    </row>
    <row r="5" customFormat="false" ht="15" hidden="false" customHeight="false" outlineLevel="0" collapsed="false">
      <c r="A5" s="6" t="s">
        <v>148</v>
      </c>
      <c r="B5" s="24" t="n">
        <f aca="false">MIN(Supuestos!$C$7,Supuestos!$C$5)</f>
        <v>31</v>
      </c>
      <c r="C5" s="24" t="n">
        <f aca="false">MIN(Supuestos!$C$7,Supuestos!$C$5-SUM($B5:B5))</f>
        <v>31</v>
      </c>
      <c r="D5" s="24" t="n">
        <f aca="false">MIN(Supuestos!$C$7,Supuestos!$C$5-SUM($B5:C5))</f>
        <v>31</v>
      </c>
      <c r="E5" s="24" t="n">
        <f aca="false">MIN(Supuestos!$C$7,Supuestos!$C$5-SUM($B5:D5))</f>
        <v>31</v>
      </c>
      <c r="F5" s="24" t="n">
        <f aca="false">MIN(Supuestos!$C$7,Supuestos!$C$5-SUM($B5:E5))</f>
        <v>31</v>
      </c>
      <c r="G5" s="24" t="n">
        <f aca="false">MIN(Supuestos!$C$7,Supuestos!$C$5-SUM($B5:F5))</f>
        <v>31</v>
      </c>
      <c r="H5" s="24" t="n">
        <f aca="false">MIN(Supuestos!$C$7,Supuestos!$C$5-SUM($B5:G5))</f>
        <v>31</v>
      </c>
      <c r="I5" s="24" t="n">
        <f aca="false">MIN(Supuestos!$C$7,Supuestos!$C$5-SUM($B5:H5))</f>
        <v>31</v>
      </c>
      <c r="J5" s="25" t="n">
        <f aca="false">SUM(B5:I5)</f>
        <v>248</v>
      </c>
    </row>
    <row r="6" customFormat="false" ht="15" hidden="false" customHeight="false" outlineLevel="0" collapsed="false">
      <c r="A6" s="6" t="s">
        <v>149</v>
      </c>
      <c r="B6" s="24" t="n">
        <f aca="false">-B5*Supuestos!$C$8</f>
        <v>-4.34</v>
      </c>
      <c r="C6" s="24" t="n">
        <f aca="false">-C5*Supuestos!$C$8</f>
        <v>-4.34</v>
      </c>
      <c r="D6" s="24" t="n">
        <f aca="false">-D5*Supuestos!$C$8</f>
        <v>-4.34</v>
      </c>
      <c r="E6" s="24" t="n">
        <f aca="false">-E5*Supuestos!$C$8</f>
        <v>-4.34</v>
      </c>
      <c r="F6" s="24" t="n">
        <f aca="false">-F5*Supuestos!$C$8</f>
        <v>-4.34</v>
      </c>
      <c r="G6" s="24" t="n">
        <f aca="false">-G5*Supuestos!$C$8</f>
        <v>-4.34</v>
      </c>
      <c r="H6" s="24" t="n">
        <f aca="false">-H5*Supuestos!$C$8</f>
        <v>-4.34</v>
      </c>
      <c r="I6" s="24" t="n">
        <f aca="false">-I5*Supuestos!$C$8</f>
        <v>-4.34</v>
      </c>
      <c r="J6" s="25" t="n">
        <f aca="false">SUM(B6:I6)</f>
        <v>-34.72</v>
      </c>
    </row>
    <row r="7" customFormat="false" ht="15" hidden="false" customHeight="false" outlineLevel="0" collapsed="false">
      <c r="A7" s="5" t="s">
        <v>150</v>
      </c>
      <c r="B7" s="26" t="n">
        <f aca="false">B5+B6</f>
        <v>26.66</v>
      </c>
      <c r="C7" s="26" t="n">
        <f aca="false">C5+C6</f>
        <v>26.66</v>
      </c>
      <c r="D7" s="26" t="n">
        <f aca="false">D5+D6</f>
        <v>26.66</v>
      </c>
      <c r="E7" s="26" t="n">
        <f aca="false">E5+E6</f>
        <v>26.66</v>
      </c>
      <c r="F7" s="26" t="n">
        <f aca="false">F5+F6</f>
        <v>26.66</v>
      </c>
      <c r="G7" s="26" t="n">
        <f aca="false">G5+G6</f>
        <v>26.66</v>
      </c>
      <c r="H7" s="26" t="n">
        <f aca="false">H5+H6</f>
        <v>26.66</v>
      </c>
      <c r="I7" s="26" t="n">
        <f aca="false">I5+I6</f>
        <v>26.66</v>
      </c>
      <c r="J7" s="25" t="n">
        <f aca="false">SUM(B7:I7)</f>
        <v>213.28</v>
      </c>
    </row>
    <row r="8" customFormat="false" ht="15" hidden="false" customHeight="false" outlineLevel="0" collapsed="false">
      <c r="A8" s="6" t="s">
        <v>151</v>
      </c>
      <c r="B8" s="24" t="n">
        <f aca="false">SUM($B7:B7)</f>
        <v>26.66</v>
      </c>
      <c r="C8" s="24" t="n">
        <f aca="false">SUM($B7:C7)</f>
        <v>53.32</v>
      </c>
      <c r="D8" s="24" t="n">
        <f aca="false">SUM($B7:D7)</f>
        <v>79.98</v>
      </c>
      <c r="E8" s="24" t="n">
        <f aca="false">SUM($B7:E7)</f>
        <v>106.64</v>
      </c>
      <c r="F8" s="24" t="n">
        <f aca="false">SUM($B7:F7)</f>
        <v>133.3</v>
      </c>
      <c r="G8" s="24" t="n">
        <f aca="false">SUM($B7:G7)</f>
        <v>159.96</v>
      </c>
      <c r="H8" s="24" t="n">
        <f aca="false">SUM($B7:H7)</f>
        <v>186.62</v>
      </c>
      <c r="I8" s="24" t="n">
        <f aca="false">SUM($B7:I7)</f>
        <v>213.28</v>
      </c>
    </row>
    <row r="9" customFormat="false" ht="15" hidden="false" customHeight="false" outlineLevel="0" collapsed="false">
      <c r="A9" s="5" t="s">
        <v>152</v>
      </c>
      <c r="B9" s="26" t="n">
        <f aca="false">MIN(B8,ROUND(Supuestos!$C$5*(1-Supuestos!$C$8)*Supuestos!B$24,0))</f>
        <v>0</v>
      </c>
      <c r="C9" s="26" t="n">
        <f aca="false">MIN(C8-SUM($B9:B9),ROUND(Supuestos!$C$5*(1-Supuestos!$C$8)*Supuestos!C$24,0))</f>
        <v>0</v>
      </c>
      <c r="D9" s="26" t="n">
        <f aca="false">MIN(D8-SUM($B9:C9),ROUND(Supuestos!$C$5*(1-Supuestos!$C$8)*Supuestos!D$24,0))</f>
        <v>0</v>
      </c>
      <c r="E9" s="26" t="n">
        <f aca="false">MIN(E8-SUM($B9:D9),ROUND(Supuestos!$C$5*(1-Supuestos!$C$8)*Supuestos!E$24,0))</f>
        <v>0</v>
      </c>
      <c r="F9" s="26" t="n">
        <f aca="false">MIN(F8-SUM($B9:E9),ROUND(Supuestos!$C$5*(1-Supuestos!$C$8)*Supuestos!F$24,0))</f>
        <v>77</v>
      </c>
      <c r="G9" s="26" t="n">
        <f aca="false">MIN(G8-SUM($B9:F9),ROUND(Supuestos!$C$5*(1-Supuestos!$C$8)*Supuestos!G$24,0))</f>
        <v>77</v>
      </c>
      <c r="H9" s="26" t="n">
        <f aca="false">MIN(H8-SUM($B9:G9),ROUND(Supuestos!$C$5*(1-Supuestos!$C$8)*Supuestos!H$24,0))</f>
        <v>32.62</v>
      </c>
      <c r="I9" s="26" t="n">
        <f aca="false">MIN(I8-SUM($B9:H9),ROUND(Supuestos!$C$5*(1-Supuestos!$C$8)*Supuestos!I$24,0))</f>
        <v>26.66</v>
      </c>
      <c r="J9" s="25" t="n">
        <f aca="false">SUM(B9:I9)</f>
        <v>213.28</v>
      </c>
    </row>
    <row r="11" customFormat="false" ht="15" hidden="false" customHeight="false" outlineLevel="0" collapsed="false">
      <c r="A11" s="4" t="s">
        <v>153</v>
      </c>
    </row>
    <row r="12" customFormat="false" ht="15" hidden="false" customHeight="false" outlineLevel="0" collapsed="false">
      <c r="A12" s="6" t="s">
        <v>154</v>
      </c>
      <c r="B12" s="18" t="n">
        <f aca="false">B7*Supuestos!$C$6*Supuestos!$C$16</f>
        <v>3799.05</v>
      </c>
      <c r="C12" s="18" t="n">
        <f aca="false">C7*Supuestos!$C$6*Supuestos!$C$16</f>
        <v>3799.05</v>
      </c>
      <c r="D12" s="18" t="n">
        <f aca="false">D7*Supuestos!$C$6*Supuestos!$C$16</f>
        <v>3799.05</v>
      </c>
      <c r="E12" s="18" t="n">
        <f aca="false">E7*Supuestos!$C$6*Supuestos!$C$16</f>
        <v>3799.05</v>
      </c>
      <c r="F12" s="18" t="n">
        <f aca="false">F7*Supuestos!$C$6*Supuestos!$C$16</f>
        <v>3799.05</v>
      </c>
      <c r="G12" s="18" t="n">
        <f aca="false">G7*Supuestos!$C$6*Supuestos!$C$16</f>
        <v>3799.05</v>
      </c>
      <c r="H12" s="18" t="n">
        <f aca="false">H7*Supuestos!$C$6*Supuestos!$C$16</f>
        <v>3799.05</v>
      </c>
      <c r="I12" s="18" t="n">
        <f aca="false">I7*Supuestos!$C$6*Supuestos!$C$16</f>
        <v>3799.05</v>
      </c>
      <c r="J12" s="16" t="n">
        <f aca="false">SUM(B12:I12)</f>
        <v>30392.4</v>
      </c>
    </row>
    <row r="13" customFormat="false" ht="15" hidden="false" customHeight="false" outlineLevel="0" collapsed="false">
      <c r="A13" s="6" t="s">
        <v>155</v>
      </c>
      <c r="B13" s="18" t="n">
        <f aca="false">B9*Supuestos!$C$6*(1-Supuestos!$C$16)</f>
        <v>0</v>
      </c>
      <c r="C13" s="18" t="n">
        <f aca="false">C9*Supuestos!$C$6*(1-Supuestos!$C$16)</f>
        <v>0</v>
      </c>
      <c r="D13" s="18" t="n">
        <f aca="false">D9*Supuestos!$C$6*(1-Supuestos!$C$16)</f>
        <v>0</v>
      </c>
      <c r="E13" s="18" t="n">
        <f aca="false">E9*Supuestos!$C$6*(1-Supuestos!$C$16)</f>
        <v>0</v>
      </c>
      <c r="F13" s="18" t="n">
        <f aca="false">F9*Supuestos!$C$6*(1-Supuestos!$C$16)</f>
        <v>25602.5</v>
      </c>
      <c r="G13" s="18" t="n">
        <f aca="false">G9*Supuestos!$C$6*(1-Supuestos!$C$16)</f>
        <v>25602.5</v>
      </c>
      <c r="H13" s="18" t="n">
        <f aca="false">H9*Supuestos!$C$6*(1-Supuestos!$C$16)</f>
        <v>10846.15</v>
      </c>
      <c r="I13" s="18" t="n">
        <f aca="false">I9*Supuestos!$C$6*(1-Supuestos!$C$16)</f>
        <v>8864.45</v>
      </c>
      <c r="J13" s="16" t="n">
        <f aca="false">SUM(B13:I13)</f>
        <v>70915.6</v>
      </c>
    </row>
    <row r="14" customFormat="false" ht="15" hidden="false" customHeight="false" outlineLevel="0" collapsed="false">
      <c r="A14" s="5" t="s">
        <v>156</v>
      </c>
      <c r="B14" s="27" t="n">
        <f aca="false">B12+B13</f>
        <v>3799.05</v>
      </c>
      <c r="C14" s="27" t="n">
        <f aca="false">C12+C13</f>
        <v>3799.05</v>
      </c>
      <c r="D14" s="27" t="n">
        <f aca="false">D12+D13</f>
        <v>3799.05</v>
      </c>
      <c r="E14" s="27" t="n">
        <f aca="false">E12+E13</f>
        <v>3799.05</v>
      </c>
      <c r="F14" s="27" t="n">
        <f aca="false">F12+F13</f>
        <v>29401.55</v>
      </c>
      <c r="G14" s="27" t="n">
        <f aca="false">G12+G13</f>
        <v>29401.55</v>
      </c>
      <c r="H14" s="27" t="n">
        <f aca="false">H12+H13</f>
        <v>14645.2</v>
      </c>
      <c r="I14" s="27" t="n">
        <f aca="false">I12+I13</f>
        <v>12663.5</v>
      </c>
      <c r="J14" s="16" t="n">
        <f aca="false">SUM(B14:I14)</f>
        <v>101308</v>
      </c>
    </row>
    <row r="16" customFormat="false" ht="15" hidden="false" customHeight="false" outlineLevel="0" collapsed="false">
      <c r="A16" s="4" t="s">
        <v>157</v>
      </c>
    </row>
    <row r="17" customFormat="false" ht="15" hidden="false" customHeight="false" outlineLevel="0" collapsed="false">
      <c r="A17" s="6" t="s">
        <v>46</v>
      </c>
      <c r="B17" s="18" t="n">
        <f aca="false">-Supuestos!$C$10*Supuestos!B$20</f>
        <v>-4265</v>
      </c>
      <c r="C17" s="18" t="n">
        <f aca="false">-Supuestos!$C$10*Supuestos!C$20</f>
        <v>-10236</v>
      </c>
      <c r="D17" s="18" t="n">
        <f aca="false">-Supuestos!$C$10*Supuestos!D$20</f>
        <v>-15354</v>
      </c>
      <c r="E17" s="18" t="n">
        <f aca="false">-Supuestos!$C$10*Supuestos!E$20</f>
        <v>-18766</v>
      </c>
      <c r="F17" s="18" t="n">
        <f aca="false">-Supuestos!$C$10*Supuestos!F$20</f>
        <v>-17060</v>
      </c>
      <c r="G17" s="18" t="n">
        <f aca="false">-Supuestos!$C$10*Supuestos!G$20</f>
        <v>-11089</v>
      </c>
      <c r="H17" s="18" t="n">
        <f aca="false">-Supuestos!$C$10*Supuestos!H$20</f>
        <v>-5971</v>
      </c>
      <c r="I17" s="18" t="n">
        <f aca="false">-Supuestos!$C$10*Supuestos!I$20</f>
        <v>-2559</v>
      </c>
      <c r="J17" s="16" t="n">
        <f aca="false">SUM(B17:I17)</f>
        <v>-85300</v>
      </c>
    </row>
    <row r="18" customFormat="false" ht="15" hidden="false" customHeight="false" outlineLevel="0" collapsed="false">
      <c r="A18" s="6" t="s">
        <v>82</v>
      </c>
      <c r="B18" s="18" t="n">
        <f aca="false">-Supuestos!$C$9</f>
        <v>-18000</v>
      </c>
      <c r="C18" s="18" t="n">
        <f aca="false">0</f>
        <v>0</v>
      </c>
      <c r="D18" s="18" t="n">
        <f aca="false">0</f>
        <v>0</v>
      </c>
      <c r="E18" s="18" t="n">
        <f aca="false">0</f>
        <v>0</v>
      </c>
      <c r="F18" s="18" t="n">
        <f aca="false">0</f>
        <v>0</v>
      </c>
      <c r="G18" s="18" t="n">
        <f aca="false">0</f>
        <v>0</v>
      </c>
      <c r="H18" s="18" t="n">
        <f aca="false">0</f>
        <v>0</v>
      </c>
      <c r="I18" s="18" t="n">
        <f aca="false">0</f>
        <v>0</v>
      </c>
      <c r="J18" s="16" t="n">
        <f aca="false">SUM(B18:I18)</f>
        <v>-18000</v>
      </c>
    </row>
    <row r="19" customFormat="false" ht="15" hidden="false" customHeight="false" outlineLevel="0" collapsed="false">
      <c r="A19" s="6" t="s">
        <v>48</v>
      </c>
      <c r="B19" s="18" t="n">
        <f aca="false">-Supuestos!$C$11/8</f>
        <v>-1675</v>
      </c>
      <c r="C19" s="18" t="n">
        <f aca="false">-Supuestos!$C$11/8</f>
        <v>-1675</v>
      </c>
      <c r="D19" s="18" t="n">
        <f aca="false">-Supuestos!$C$11/8</f>
        <v>-1675</v>
      </c>
      <c r="E19" s="18" t="n">
        <f aca="false">-Supuestos!$C$11/8</f>
        <v>-1675</v>
      </c>
      <c r="F19" s="18" t="n">
        <f aca="false">-Supuestos!$C$11/8</f>
        <v>-1675</v>
      </c>
      <c r="G19" s="18" t="n">
        <f aca="false">-Supuestos!$C$11/8</f>
        <v>-1675</v>
      </c>
      <c r="H19" s="18" t="n">
        <f aca="false">-Supuestos!$C$11/8</f>
        <v>-1675</v>
      </c>
      <c r="I19" s="18" t="n">
        <f aca="false">-Supuestos!$C$11/8</f>
        <v>-1675</v>
      </c>
      <c r="J19" s="16" t="n">
        <f aca="false">SUM(B19:I19)</f>
        <v>-13400</v>
      </c>
    </row>
    <row r="20" customFormat="false" ht="15" hidden="false" customHeight="false" outlineLevel="0" collapsed="false">
      <c r="A20" s="6" t="s">
        <v>50</v>
      </c>
      <c r="B20" s="18" t="n">
        <f aca="false">-Supuestos!$C$12/8</f>
        <v>-850</v>
      </c>
      <c r="C20" s="18" t="n">
        <f aca="false">-Supuestos!$C$12/8</f>
        <v>-850</v>
      </c>
      <c r="D20" s="18" t="n">
        <f aca="false">-Supuestos!$C$12/8</f>
        <v>-850</v>
      </c>
      <c r="E20" s="18" t="n">
        <f aca="false">-Supuestos!$C$12/8</f>
        <v>-850</v>
      </c>
      <c r="F20" s="18" t="n">
        <f aca="false">-Supuestos!$C$12/8</f>
        <v>-850</v>
      </c>
      <c r="G20" s="18" t="n">
        <f aca="false">-Supuestos!$C$12/8</f>
        <v>-850</v>
      </c>
      <c r="H20" s="18" t="n">
        <f aca="false">-Supuestos!$C$12/8</f>
        <v>-850</v>
      </c>
      <c r="I20" s="18" t="n">
        <f aca="false">-Supuestos!$C$12/8</f>
        <v>-850</v>
      </c>
      <c r="J20" s="16" t="n">
        <f aca="false">SUM(B20:I20)</f>
        <v>-6800</v>
      </c>
    </row>
    <row r="21" customFormat="false" ht="15" hidden="false" customHeight="false" outlineLevel="0" collapsed="false">
      <c r="A21" s="5" t="s">
        <v>158</v>
      </c>
      <c r="B21" s="27" t="n">
        <f aca="false">SUM(B17:B20)</f>
        <v>-24790</v>
      </c>
      <c r="C21" s="27" t="n">
        <f aca="false">SUM(C17:C20)</f>
        <v>-12761</v>
      </c>
      <c r="D21" s="27" t="n">
        <f aca="false">SUM(D17:D20)</f>
        <v>-17879</v>
      </c>
      <c r="E21" s="27" t="n">
        <f aca="false">SUM(E17:E20)</f>
        <v>-21291</v>
      </c>
      <c r="F21" s="27" t="n">
        <f aca="false">SUM(F17:F20)</f>
        <v>-19585</v>
      </c>
      <c r="G21" s="27" t="n">
        <f aca="false">SUM(G17:G20)</f>
        <v>-13614</v>
      </c>
      <c r="H21" s="27" t="n">
        <f aca="false">SUM(H17:H20)</f>
        <v>-8496</v>
      </c>
      <c r="I21" s="27" t="n">
        <f aca="false">SUM(I17:I20)</f>
        <v>-5084</v>
      </c>
      <c r="J21" s="16" t="n">
        <f aca="false">SUM(B21:I21)</f>
        <v>-123500</v>
      </c>
    </row>
    <row r="22" customFormat="false" ht="15" hidden="false" customHeight="false" outlineLevel="0" collapsed="false">
      <c r="A22" s="5" t="s">
        <v>159</v>
      </c>
      <c r="B22" s="27" t="n">
        <f aca="false">B14+B21</f>
        <v>-20990.95</v>
      </c>
      <c r="C22" s="27" t="n">
        <f aca="false">C14+C21</f>
        <v>-8961.95</v>
      </c>
      <c r="D22" s="27" t="n">
        <f aca="false">D14+D21</f>
        <v>-14079.95</v>
      </c>
      <c r="E22" s="27" t="n">
        <f aca="false">E14+E21</f>
        <v>-17491.95</v>
      </c>
      <c r="F22" s="27" t="n">
        <f aca="false">F14+F21</f>
        <v>9816.55</v>
      </c>
      <c r="G22" s="27" t="n">
        <f aca="false">G14+G21</f>
        <v>15787.55</v>
      </c>
      <c r="H22" s="27" t="n">
        <f aca="false">H14+H21</f>
        <v>6149.2</v>
      </c>
      <c r="I22" s="27" t="n">
        <f aca="false">I14+I21</f>
        <v>7579.5</v>
      </c>
      <c r="J22" s="16" t="n">
        <f aca="false">SUM(B22:I22)</f>
        <v>-22192</v>
      </c>
    </row>
    <row r="24" customFormat="false" ht="15" hidden="false" customHeight="false" outlineLevel="0" collapsed="false">
      <c r="A24" s="4" t="s">
        <v>160</v>
      </c>
    </row>
    <row r="25" customFormat="false" ht="15" hidden="false" customHeight="false" outlineLevel="0" collapsed="false">
      <c r="A25" s="6" t="s">
        <v>57</v>
      </c>
      <c r="B25" s="18" t="n">
        <f aca="false">Supuestos!$C$15*0.6</f>
        <v>18000</v>
      </c>
      <c r="C25" s="18" t="n">
        <f aca="false">Supuestos!$C$15*0.4</f>
        <v>12000</v>
      </c>
      <c r="D25" s="18" t="n">
        <f aca="false">0</f>
        <v>0</v>
      </c>
      <c r="E25" s="18" t="n">
        <f aca="false">0</f>
        <v>0</v>
      </c>
      <c r="F25" s="18" t="n">
        <f aca="false">0</f>
        <v>0</v>
      </c>
      <c r="G25" s="18" t="n">
        <f aca="false">0</f>
        <v>0</v>
      </c>
      <c r="H25" s="18" t="n">
        <f aca="false">0</f>
        <v>0</v>
      </c>
      <c r="I25" s="18" t="n">
        <f aca="false">0</f>
        <v>0</v>
      </c>
      <c r="J25" s="16" t="n">
        <f aca="false">SUM(B25:I25)</f>
        <v>30000</v>
      </c>
    </row>
    <row r="26" customFormat="false" ht="15" hidden="false" customHeight="false" outlineLevel="0" collapsed="false">
      <c r="A26" s="6" t="s">
        <v>161</v>
      </c>
      <c r="B26" s="18" t="n">
        <f aca="false">0</f>
        <v>0</v>
      </c>
      <c r="C26" s="18" t="n">
        <f aca="false">B30</f>
        <v>2990.95</v>
      </c>
      <c r="D26" s="18" t="n">
        <f aca="false">C30</f>
        <v>2990.95</v>
      </c>
      <c r="E26" s="18" t="n">
        <f aca="false">D30</f>
        <v>14424.0583369472</v>
      </c>
      <c r="F26" s="18" t="n">
        <f aca="false">E30</f>
        <v>32675.2873229348</v>
      </c>
      <c r="G26" s="18" t="n">
        <f aca="false">F30</f>
        <v>22872.7011260544</v>
      </c>
      <c r="H26" s="18" t="n">
        <f aca="false">G30</f>
        <v>13070.1149291739</v>
      </c>
      <c r="I26" s="18" t="n">
        <f aca="false">H30</f>
        <v>4901.29309844022</v>
      </c>
    </row>
    <row r="27" customFormat="false" ht="15" hidden="false" customHeight="false" outlineLevel="0" collapsed="false">
      <c r="A27" s="6" t="s">
        <v>162</v>
      </c>
      <c r="B27" s="18" t="n">
        <f aca="false">MAX(0,MIN(-(B22+B25+0),Supuestos!$C$14-B26))</f>
        <v>2990.95</v>
      </c>
      <c r="C27" s="18" t="n">
        <f aca="false">MAX(0,MIN(-(C22+C25+B31),Supuestos!$C$14-C26))</f>
        <v>0</v>
      </c>
      <c r="D27" s="18" t="n">
        <f aca="false">MAX(0,MIN(-(D22+D25+C31),Supuestos!$C$14-D26))</f>
        <v>11433.1083369472</v>
      </c>
      <c r="E27" s="18" t="n">
        <f aca="false">MAX(0,MIN(-(E22+E25+D31),Supuestos!$C$14-E26))</f>
        <v>18251.2289859876</v>
      </c>
      <c r="F27" s="18" t="n">
        <f aca="false">MAX(0,MIN(-(F22+F25+E31),Supuestos!$C$14-F26))</f>
        <v>0</v>
      </c>
      <c r="G27" s="18" t="n">
        <f aca="false">MAX(0,MIN(-(G22+G25+F31),Supuestos!$C$14-G26))</f>
        <v>0</v>
      </c>
      <c r="H27" s="18" t="n">
        <f aca="false">MAX(0,MIN(-(H22+H25+G31),Supuestos!$C$14-H26))</f>
        <v>0</v>
      </c>
      <c r="I27" s="18" t="n">
        <f aca="false">MAX(0,MIN(-(I22+I25+H31),Supuestos!$C$14-I26))</f>
        <v>0</v>
      </c>
      <c r="J27" s="16" t="n">
        <f aca="false">SUM(B27:I27)</f>
        <v>32675.2873229348</v>
      </c>
    </row>
    <row r="28" customFormat="false" ht="15" hidden="false" customHeight="false" outlineLevel="0" collapsed="false">
      <c r="A28" s="6" t="s">
        <v>163</v>
      </c>
      <c r="B28" s="18" t="n">
        <f aca="false">-(B26+B27/2)*((1+Supuestos!$C$13)^0.5-1)</f>
        <v>-130.402778982402</v>
      </c>
      <c r="C28" s="18" t="n">
        <f aca="false">-(C26+C27/2)*((1+Supuestos!$C$13)^0.5-1)</f>
        <v>-260.805557964805</v>
      </c>
      <c r="D28" s="18" t="n">
        <f aca="false">-(D26+D27/2)*((1+Supuestos!$C$13)^0.5-1)</f>
        <v>-759.278985987603</v>
      </c>
      <c r="E28" s="18" t="n">
        <f aca="false">-(E26+E27/2)*((1+Supuestos!$C$13)^0.5-1)</f>
        <v>-2053.48988191089</v>
      </c>
      <c r="F28" s="18" t="n">
        <f aca="false">-(F26+F27/2)*((1+Supuestos!$C$13)^0.5-1)</f>
        <v>-2849.22734981137</v>
      </c>
      <c r="G28" s="18" t="n">
        <f aca="false">-(G26+G27/2)*((1+Supuestos!$C$13)^0.5-1)</f>
        <v>-1994.45914486796</v>
      </c>
      <c r="H28" s="18" t="n">
        <f aca="false">-(H26+H27/2)*((1+Supuestos!$C$13)^0.5-1)</f>
        <v>-1139.69093992455</v>
      </c>
      <c r="I28" s="18" t="n">
        <f aca="false">-(I26+I27/2)*((1+Supuestos!$C$13)^0.5-1)</f>
        <v>-427.384102471706</v>
      </c>
      <c r="J28" s="16" t="n">
        <f aca="false">SUM(B28:I28)</f>
        <v>-9614.73874192129</v>
      </c>
    </row>
    <row r="29" customFormat="false" ht="15" hidden="false" customHeight="false" outlineLevel="0" collapsed="false">
      <c r="A29" s="6" t="s">
        <v>164</v>
      </c>
      <c r="B29" s="18" t="n">
        <f aca="false">0</f>
        <v>0</v>
      </c>
      <c r="C29" s="18" t="n">
        <f aca="false">0</f>
        <v>0</v>
      </c>
      <c r="D29" s="18" t="n">
        <f aca="false">0</f>
        <v>0</v>
      </c>
      <c r="E29" s="18" t="n">
        <f aca="false">0</f>
        <v>0</v>
      </c>
      <c r="F29" s="18" t="n">
        <f aca="false">-MIN(F26+F27,$E$30*Supuestos!F$28)</f>
        <v>-9802.58619688044</v>
      </c>
      <c r="G29" s="18" t="n">
        <f aca="false">-MIN(G26+G27,$E$30*Supuestos!G$28)</f>
        <v>-9802.58619688044</v>
      </c>
      <c r="H29" s="18" t="n">
        <f aca="false">-MIN(H26+H27,$E$30*Supuestos!H$28)</f>
        <v>-8168.8218307337</v>
      </c>
      <c r="I29" s="18" t="n">
        <f aca="false">-MIN(I26+I27,$E$30*Supuestos!I$28)</f>
        <v>-4901.29309844022</v>
      </c>
      <c r="J29" s="16" t="n">
        <f aca="false">SUM(B29:I29)</f>
        <v>-32675.2873229348</v>
      </c>
    </row>
    <row r="30" customFormat="false" ht="15" hidden="false" customHeight="false" outlineLevel="0" collapsed="false">
      <c r="A30" s="5" t="s">
        <v>165</v>
      </c>
      <c r="B30" s="27" t="n">
        <f aca="false">B26+B27+B29</f>
        <v>2990.95</v>
      </c>
      <c r="C30" s="27" t="n">
        <f aca="false">C26+C27+C29</f>
        <v>2990.95</v>
      </c>
      <c r="D30" s="27" t="n">
        <f aca="false">D26+D27+D29</f>
        <v>14424.0583369472</v>
      </c>
      <c r="E30" s="27" t="n">
        <f aca="false">E26+E27+E29</f>
        <v>32675.2873229348</v>
      </c>
      <c r="F30" s="27" t="n">
        <f aca="false">F26+F27+F29</f>
        <v>22872.7011260544</v>
      </c>
      <c r="G30" s="27" t="n">
        <f aca="false">G26+G27+G29</f>
        <v>13070.1149291739</v>
      </c>
      <c r="H30" s="27" t="n">
        <f aca="false">H26+H27+H29</f>
        <v>4901.29309844022</v>
      </c>
      <c r="I30" s="27" t="n">
        <f aca="false">I26+I27+I29</f>
        <v>0</v>
      </c>
    </row>
    <row r="31" customFormat="false" ht="15" hidden="false" customHeight="false" outlineLevel="0" collapsed="false">
      <c r="A31" s="5" t="s">
        <v>166</v>
      </c>
      <c r="B31" s="27" t="n">
        <f aca="false">0+B22+B25+B27+B28+B29</f>
        <v>-130.402778982402</v>
      </c>
      <c r="C31" s="27" t="n">
        <f aca="false">B31+C22+C25+C27+C28+C29</f>
        <v>2646.84166305279</v>
      </c>
      <c r="D31" s="27" t="n">
        <f aca="false">C31+D22+D25+D27+D28+D29</f>
        <v>-759.278985987603</v>
      </c>
      <c r="E31" s="27" t="n">
        <f aca="false">D31+E22+E25+E27+E28+E29</f>
        <v>-2053.48988191089</v>
      </c>
      <c r="F31" s="27" t="n">
        <f aca="false">E31+F22+F25+F27+F28+F29</f>
        <v>-4888.75342860271</v>
      </c>
      <c r="G31" s="27" t="n">
        <f aca="false">F31+G22+G25+G27+G28+G29</f>
        <v>-898.248770351109</v>
      </c>
      <c r="H31" s="27" t="n">
        <f aca="false">G31+H22+H25+H27+H28+H29</f>
        <v>-4057.56154100936</v>
      </c>
      <c r="I31" s="27" t="n">
        <f aca="false">H31+I22+I25+I27+I28+I29</f>
        <v>-1806.73874192129</v>
      </c>
    </row>
    <row r="33" customFormat="false" ht="15" hidden="false" customHeight="false" outlineLevel="0" collapsed="false">
      <c r="A33" s="4" t="s">
        <v>167</v>
      </c>
    </row>
    <row r="34" customFormat="false" ht="15" hidden="false" customHeight="false" outlineLevel="0" collapsed="false">
      <c r="A34" s="6" t="s">
        <v>168</v>
      </c>
      <c r="B34" s="18" t="n">
        <f aca="false">-(B28+B29)</f>
        <v>130.402778982402</v>
      </c>
      <c r="C34" s="18" t="n">
        <f aca="false">-(C28+C29)</f>
        <v>260.805557964805</v>
      </c>
      <c r="D34" s="18" t="n">
        <f aca="false">-(D28+D29)</f>
        <v>759.278985987603</v>
      </c>
      <c r="E34" s="18" t="n">
        <f aca="false">-(E28+E29)</f>
        <v>2053.48988191089</v>
      </c>
      <c r="F34" s="18" t="n">
        <f aca="false">-(F28+F29)</f>
        <v>12651.8135466918</v>
      </c>
      <c r="G34" s="18" t="n">
        <f aca="false">-(G28+G29)</f>
        <v>11797.0453417484</v>
      </c>
      <c r="H34" s="18" t="n">
        <f aca="false">-(H28+H29)</f>
        <v>9308.51277065825</v>
      </c>
      <c r="I34" s="18" t="n">
        <f aca="false">-(I28+I29)</f>
        <v>5328.67720091193</v>
      </c>
      <c r="J34" s="16" t="n">
        <f aca="false">SUM(B34:I34)</f>
        <v>42290.0260648561</v>
      </c>
    </row>
    <row r="35" customFormat="false" ht="15" hidden="false" customHeight="false" outlineLevel="0" collapsed="false">
      <c r="A35" s="5" t="s">
        <v>169</v>
      </c>
      <c r="B35" s="28" t="str">
        <f aca="false">IF(OR(B34&lt;100,B22&lt;=0),"n.a.",B22/B34)</f>
        <v>n.a.</v>
      </c>
      <c r="C35" s="28" t="str">
        <f aca="false">IF(OR(C34&lt;100,C22&lt;=0),"n.a.",C22/C34)</f>
        <v>n.a.</v>
      </c>
      <c r="D35" s="28" t="str">
        <f aca="false">IF(OR(D34&lt;100,D22&lt;=0),"n.a.",D22/D34)</f>
        <v>n.a.</v>
      </c>
      <c r="E35" s="28" t="str">
        <f aca="false">IF(OR(E34&lt;100,E22&lt;=0),"n.a.",E22/E34)</f>
        <v>n.a.</v>
      </c>
      <c r="F35" s="28" t="n">
        <f aca="false">IF(OR(F34&lt;100,F22&lt;=0),"n.a.",F22/F34)</f>
        <v>0.775900621975797</v>
      </c>
      <c r="G35" s="28" t="n">
        <f aca="false">IF(OR(G34&lt;100,G22&lt;=0),"n.a.",G22/G34)</f>
        <v>1.33826306016894</v>
      </c>
      <c r="H35" s="28" t="n">
        <f aca="false">IF(OR(H34&lt;100,H22&lt;=0),"n.a.",H22/H34)</f>
        <v>0.660599620100769</v>
      </c>
      <c r="I35" s="28" t="n">
        <f aca="false">IF(OR(I34&lt;100,I22&lt;=0),"n.a.",I22/I34)</f>
        <v>1.42239803880462</v>
      </c>
    </row>
    <row r="36" customFormat="false" ht="15" hidden="false" customHeight="false" outlineLevel="0" collapsed="false">
      <c r="A36" s="6" t="s">
        <v>170</v>
      </c>
      <c r="B36" s="15" t="n">
        <f aca="false">B30/Presupuesto!$C$10</f>
        <v>0.0224689178529843</v>
      </c>
      <c r="C36" s="15" t="n">
        <f aca="false">C30/Presupuesto!$C$10</f>
        <v>0.0224689178529843</v>
      </c>
      <c r="D36" s="15" t="n">
        <f aca="false">D30/Presupuesto!$C$10</f>
        <v>0.108357873545034</v>
      </c>
      <c r="E36" s="15" t="n">
        <f aca="false">E30/Presupuesto!$C$10</f>
        <v>0.245466606490139</v>
      </c>
      <c r="F36" s="15" t="n">
        <f aca="false">F30/Presupuesto!$C$10</f>
        <v>0.171826624543097</v>
      </c>
      <c r="G36" s="15" t="n">
        <f aca="false">G30/Presupuesto!$C$10</f>
        <v>0.0981866425960555</v>
      </c>
      <c r="H36" s="15" t="n">
        <f aca="false">H30/Presupuesto!$C$10</f>
        <v>0.0368199909735208</v>
      </c>
      <c r="I36" s="15" t="n">
        <f aca="false">I30/Presupuesto!$C$10</f>
        <v>0</v>
      </c>
    </row>
    <row r="38" customFormat="false" ht="15" hidden="false" customHeight="false" outlineLevel="0" collapsed="false">
      <c r="A38" s="3" t="s">
        <v>171</v>
      </c>
    </row>
    <row r="39" customFormat="false" ht="15" hidden="false" customHeight="false" outlineLevel="0" collapsed="false">
      <c r="A39" s="3" t="s">
        <v>172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4" min="2" style="1" width="16"/>
    <col collapsed="false" customWidth="true" hidden="false" outlineLevel="0" max="5" min="5" style="1" width="44"/>
  </cols>
  <sheetData>
    <row r="1" customFormat="false" ht="17.35" hidden="false" customHeight="false" outlineLevel="0" collapsed="false">
      <c r="A1" s="2" t="s">
        <v>175</v>
      </c>
    </row>
    <row r="2" customFormat="false" ht="15" hidden="false" customHeight="false" outlineLevel="0" collapsed="false">
      <c r="A2" s="3" t="s">
        <v>176</v>
      </c>
    </row>
    <row r="4" customFormat="false" ht="15" hidden="false" customHeight="false" outlineLevel="0" collapsed="false">
      <c r="A4" s="10" t="s">
        <v>177</v>
      </c>
      <c r="B4" s="10" t="s">
        <v>29</v>
      </c>
      <c r="C4" s="10" t="s">
        <v>178</v>
      </c>
      <c r="D4" s="10" t="s">
        <v>179</v>
      </c>
      <c r="E4" s="10" t="s">
        <v>180</v>
      </c>
    </row>
    <row r="5" customFormat="false" ht="15" hidden="false" customHeight="false" outlineLevel="0" collapsed="false">
      <c r="A5" s="6" t="s">
        <v>36</v>
      </c>
      <c r="B5" s="12" t="n">
        <v>495</v>
      </c>
      <c r="C5" s="12" t="n">
        <v>455</v>
      </c>
      <c r="D5" s="12" t="n">
        <v>520</v>
      </c>
      <c r="E5" s="3" t="s">
        <v>181</v>
      </c>
    </row>
    <row r="6" customFormat="false" ht="15" hidden="false" customHeight="false" outlineLevel="0" collapsed="false">
      <c r="A6" s="6" t="s">
        <v>39</v>
      </c>
      <c r="B6" s="11" t="n">
        <v>48</v>
      </c>
      <c r="C6" s="11" t="n">
        <v>32</v>
      </c>
      <c r="D6" s="11" t="n">
        <v>64</v>
      </c>
      <c r="E6" s="3" t="s">
        <v>182</v>
      </c>
    </row>
    <row r="7" customFormat="false" ht="15" hidden="false" customHeight="false" outlineLevel="0" collapsed="false">
      <c r="A7" s="6" t="s">
        <v>46</v>
      </c>
      <c r="B7" s="12" t="n">
        <v>79000</v>
      </c>
      <c r="C7" s="12" t="n">
        <v>86900</v>
      </c>
      <c r="D7" s="12" t="n">
        <v>76630</v>
      </c>
      <c r="E7" s="3" t="s">
        <v>183</v>
      </c>
    </row>
    <row r="8" customFormat="false" ht="15" hidden="false" customHeight="false" outlineLevel="0" collapsed="false">
      <c r="A8" s="6" t="s">
        <v>184</v>
      </c>
      <c r="B8" s="13" t="n">
        <v>0.152</v>
      </c>
      <c r="C8" s="13" t="n">
        <v>0.182</v>
      </c>
      <c r="D8" s="13" t="n">
        <v>0.142</v>
      </c>
      <c r="E8" s="3" t="s">
        <v>185</v>
      </c>
    </row>
    <row r="9" customFormat="false" ht="15" hidden="false" customHeight="false" outlineLevel="0" collapsed="false">
      <c r="A9" s="6" t="s">
        <v>41</v>
      </c>
      <c r="B9" s="13" t="n">
        <v>0.08</v>
      </c>
      <c r="C9" s="13" t="n">
        <v>0.15</v>
      </c>
      <c r="D9" s="13" t="n">
        <v>0.05</v>
      </c>
      <c r="E9" s="3" t="s">
        <v>186</v>
      </c>
    </row>
    <row r="11" customFormat="false" ht="15" hidden="false" customHeight="false" outlineLevel="0" collapsed="false">
      <c r="A11" s="4" t="s">
        <v>187</v>
      </c>
    </row>
    <row r="12" customFormat="false" ht="23.85" hidden="false" customHeight="false" outlineLevel="0" collapsed="false">
      <c r="A12" s="10" t="s">
        <v>188</v>
      </c>
      <c r="B12" s="10" t="s">
        <v>189</v>
      </c>
      <c r="C12" s="10" t="s">
        <v>190</v>
      </c>
    </row>
    <row r="13" customFormat="false" ht="15" hidden="false" customHeight="false" outlineLevel="0" collapsed="false">
      <c r="A13" s="6" t="s">
        <v>191</v>
      </c>
      <c r="B13" s="20" t="n">
        <v>9800</v>
      </c>
      <c r="C13" s="29" t="n">
        <v>0.065</v>
      </c>
    </row>
    <row r="14" customFormat="false" ht="15" hidden="false" customHeight="false" outlineLevel="0" collapsed="false">
      <c r="A14" s="6" t="s">
        <v>192</v>
      </c>
      <c r="B14" s="20" t="n">
        <v>7900</v>
      </c>
      <c r="C14" s="29" t="n">
        <v>0.048</v>
      </c>
    </row>
    <row r="15" customFormat="false" ht="15" hidden="false" customHeight="false" outlineLevel="0" collapsed="false">
      <c r="A15" s="6" t="s">
        <v>193</v>
      </c>
      <c r="B15" s="20" t="n">
        <v>5400</v>
      </c>
      <c r="C15" s="29" t="n">
        <v>0.036</v>
      </c>
    </row>
    <row r="16" customFormat="false" ht="15" hidden="false" customHeight="false" outlineLevel="0" collapsed="false">
      <c r="A16" s="6" t="s">
        <v>194</v>
      </c>
      <c r="B16" s="20" t="n">
        <v>3200</v>
      </c>
      <c r="C16" s="29" t="n">
        <v>0.021</v>
      </c>
    </row>
    <row r="17" customFormat="false" ht="15" hidden="false" customHeight="false" outlineLevel="0" collapsed="false">
      <c r="A17" s="6" t="s">
        <v>195</v>
      </c>
      <c r="B17" s="20" t="n">
        <v>2500</v>
      </c>
      <c r="C17" s="29" t="n">
        <v>0.017</v>
      </c>
    </row>
    <row r="19" customFormat="false" ht="15" hidden="false" customHeight="false" outlineLevel="0" collapsed="false">
      <c r="A19" s="3" t="s">
        <v>196</v>
      </c>
    </row>
    <row r="20" customFormat="false" ht="15" hidden="false" customHeight="false" outlineLevel="0" collapsed="false">
      <c r="A20" s="3" t="s">
        <v>197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4"/>
    <col collapsed="false" customWidth="true" hidden="false" outlineLevel="0" max="7" min="3" style="1" width="14"/>
    <col collapsed="false" customWidth="true" hidden="false" outlineLevel="0" max="8" min="8" style="1" width="52"/>
  </cols>
  <sheetData>
    <row r="1" customFormat="false" ht="17.35" hidden="false" customHeight="false" outlineLevel="0" collapsed="false">
      <c r="A1" s="2" t="s">
        <v>198</v>
      </c>
    </row>
    <row r="2" customFormat="false" ht="15" hidden="false" customHeight="false" outlineLevel="0" collapsed="false">
      <c r="A2" s="3" t="s">
        <v>199</v>
      </c>
    </row>
    <row r="4" customFormat="false" ht="15" hidden="false" customHeight="false" outlineLevel="0" collapsed="false">
      <c r="A4" s="10" t="s">
        <v>200</v>
      </c>
      <c r="B4" s="10" t="s">
        <v>201</v>
      </c>
      <c r="C4" s="10" t="s">
        <v>202</v>
      </c>
      <c r="D4" s="10" t="s">
        <v>29</v>
      </c>
      <c r="E4" s="10" t="s">
        <v>30</v>
      </c>
      <c r="F4" s="10" t="s">
        <v>203</v>
      </c>
      <c r="G4" s="10" t="s">
        <v>204</v>
      </c>
      <c r="H4" s="10" t="s">
        <v>205</v>
      </c>
    </row>
    <row r="5" customFormat="false" ht="15" hidden="false" customHeight="false" outlineLevel="0" collapsed="false">
      <c r="A5" s="6" t="s">
        <v>206</v>
      </c>
      <c r="B5" s="3" t="s">
        <v>207</v>
      </c>
      <c r="C5" s="29" t="n">
        <v>0.4</v>
      </c>
      <c r="D5" s="30" t="n">
        <f aca="false">'Proyección Base'!D8/Supuestos!B5</f>
        <v>0.414</v>
      </c>
      <c r="E5" s="30" t="n">
        <f aca="false">'Proyección Mes 20'!D8/Supuestos!C5</f>
        <v>0.2499375</v>
      </c>
      <c r="F5" s="31" t="str">
        <f aca="false">IF(D5&gt;=C5,"CUMPLE","INCUMPLE")</f>
        <v>CUMPLE</v>
      </c>
      <c r="G5" s="31" t="str">
        <f aca="false">IF(E5&gt;=C5,"CUMPLE","INCUMPLE")</f>
        <v>INCUMPLE</v>
      </c>
      <c r="H5" s="3" t="s">
        <v>208</v>
      </c>
    </row>
    <row r="6" customFormat="false" ht="15" hidden="false" customHeight="false" outlineLevel="0" collapsed="false">
      <c r="A6" s="6" t="s">
        <v>209</v>
      </c>
      <c r="B6" s="3" t="s">
        <v>210</v>
      </c>
      <c r="C6" s="20" t="n">
        <v>30000</v>
      </c>
      <c r="D6" s="14" t="n">
        <f aca="false">Supuestos!B15</f>
        <v>30000</v>
      </c>
      <c r="E6" s="14" t="n">
        <f aca="false">Supuestos!C15</f>
        <v>30000</v>
      </c>
      <c r="F6" s="31" t="str">
        <f aca="false">IF(D6&gt;=C6,"CUMPLE","INCUMPLE")</f>
        <v>CUMPLE</v>
      </c>
      <c r="G6" s="31" t="str">
        <f aca="false">IF(E6&gt;=C6,"CUMPLE","INCUMPLE")</f>
        <v>CUMPLE</v>
      </c>
      <c r="H6" s="3" t="s">
        <v>211</v>
      </c>
    </row>
    <row r="7" customFormat="false" ht="15" hidden="false" customHeight="false" outlineLevel="0" collapsed="false">
      <c r="A7" s="6" t="s">
        <v>169</v>
      </c>
      <c r="B7" s="3" t="s">
        <v>212</v>
      </c>
      <c r="C7" s="32" t="n">
        <v>1.2</v>
      </c>
      <c r="D7" s="33" t="n">
        <f aca="false">'Proyección Base'!F35</f>
        <v>2.70968057757661</v>
      </c>
      <c r="E7" s="33" t="n">
        <f aca="false">'Proyección Mes 20'!F35</f>
        <v>0.775900621975797</v>
      </c>
      <c r="F7" s="31" t="str">
        <f aca="false">IF(D7&gt;=C7,"CUMPLE","INCUMPLE")</f>
        <v>CUMPLE</v>
      </c>
      <c r="G7" s="31" t="str">
        <f aca="false">IF(E7&gt;=C7,"CUMPLE","INCUMPLE")</f>
        <v>INCUMPLE</v>
      </c>
      <c r="H7" s="3" t="s">
        <v>213</v>
      </c>
    </row>
    <row r="8" customFormat="false" ht="15" hidden="false" customHeight="false" outlineLevel="0" collapsed="false">
      <c r="A8" s="6" t="s">
        <v>214</v>
      </c>
      <c r="B8" s="3" t="s">
        <v>212</v>
      </c>
      <c r="C8" s="29" t="n">
        <v>0.35</v>
      </c>
      <c r="D8" s="30" t="n">
        <f aca="false">MAX('Proyección Base'!B36:I36)</f>
        <v>0.138199318124674</v>
      </c>
      <c r="E8" s="30" t="n">
        <f aca="false">MAX('Proyección Mes 20'!B36:I36)</f>
        <v>0.245466606490139</v>
      </c>
      <c r="F8" s="31" t="str">
        <f aca="false">IF(D8&lt;=C8,"CUMPLE","INCUMPLE")</f>
        <v>CUMPLE</v>
      </c>
      <c r="G8" s="31" t="str">
        <f aca="false">IF(E8&lt;=C8,"CUMPLE","INCUMPLE")</f>
        <v>CUMPLE</v>
      </c>
      <c r="H8" s="3" t="s">
        <v>215</v>
      </c>
    </row>
    <row r="9" customFormat="false" ht="15" hidden="false" customHeight="false" outlineLevel="0" collapsed="false">
      <c r="A9" s="6" t="s">
        <v>216</v>
      </c>
      <c r="B9" s="3" t="s">
        <v>217</v>
      </c>
      <c r="C9" s="32" t="n">
        <v>1.3</v>
      </c>
      <c r="D9" s="33" t="n">
        <f aca="false">'Proyección Base'!F35</f>
        <v>2.70968057757661</v>
      </c>
      <c r="E9" s="33" t="n">
        <f aca="false">'Proyección Mes 20'!F35</f>
        <v>0.775900621975797</v>
      </c>
      <c r="F9" s="31" t="str">
        <f aca="false">IF(D9&gt;=C9,"CUMPLE","INCUMPLE")</f>
        <v>CUMPLE</v>
      </c>
      <c r="G9" s="31" t="str">
        <f aca="false">IF(E9&gt;=C9,"CUMPLE","INCUMPLE")</f>
        <v>INCUMPLE</v>
      </c>
      <c r="H9" s="3" t="s">
        <v>218</v>
      </c>
    </row>
    <row r="11" customFormat="false" ht="15" hidden="false" customHeight="false" outlineLevel="0" collapsed="false">
      <c r="A11" s="3" t="s">
        <v>219</v>
      </c>
    </row>
    <row r="12" customFormat="false" ht="15" hidden="false" customHeight="false" outlineLevel="0" collapsed="false">
      <c r="A12" s="3" t="s">
        <v>220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2026-08-02T01:01:17Z</dcterms:created>
  <dc:creator>CESA Empresarial</dc:creator>
  <dc:description>Material docente del Programa Ejecutivo CESA - Credicorp Capital</dc:description>
  <dc:language>en-US</dc:language>
  <cp:lastModifiedBy>CESA Empresarial</cp:lastModifiedBy>
  <dcterms:modified xsi:type="dcterms:W3CDTF">2026-08-02T01:01:17Z</dcterms:modified>
  <cp:revision>0</cp:revision>
  <dc:subject/>
  <dc:title>Caso Grupo Altavista - Datos financieros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