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3A6C9896-C08A-4C49-AF72-DEB3BDD4F351}" xr6:coauthVersionLast="47" xr6:coauthVersionMax="47" xr10:uidLastSave="{00000000-0000-0000-0000-000000000000}"/>
  <bookViews>
    <workbookView xWindow="-120" yWindow="-120" windowWidth="29040" windowHeight="15720" tabRatio="500" activeTab="4" xr2:uid="{00000000-000D-0000-FFFF-FFFF00000000}"/>
  </bookViews>
  <sheets>
    <sheet name="Indice" sheetId="1" r:id="rId1"/>
    <sheet name="A1 Cuenta" sheetId="2" r:id="rId2"/>
    <sheet name="A2 Piso" sheetId="3" r:id="rId3"/>
    <sheet name="A3 Peticiones" sheetId="4" r:id="rId4"/>
    <sheet name="A4 Checklist" sheetId="5" r:id="rId5"/>
    <sheet name="A5 Cliente nuevo" sheetId="6" r:id="rId6"/>
    <sheet name="B1 Descuento" sheetId="7" r:id="rId7"/>
    <sheet name="B2 Bonificacion" sheetId="8" r:id="rId8"/>
    <sheet name="B3 Rappel" sheetId="9" r:id="rId9"/>
    <sheet name="B4 Plazo" sheetId="10" r:id="rId10"/>
    <sheet name="B5 Pronto pago" sheetId="11" r:id="rId11"/>
    <sheet name="B6 Paquete" sheetId="12" r:id="rId12"/>
    <sheet name="B7 Competencia" sheetId="13" r:id="rId13"/>
    <sheet name="B8 Discounter" sheetId="14" r:id="rId14"/>
    <sheet name="B9 Presion" sheetId="15" r:id="rId15"/>
    <sheet name="B10 Lineas rojas" sheetId="16" r:id="rId16"/>
    <sheet name="B11 Cobranza" sheetId="17" r:id="rId17"/>
    <sheet name="B12 Promocion" sheetId="18" r:id="rId18"/>
    <sheet name="B13 Surtido" sheetId="19" r:id="rId19"/>
    <sheet name="B14 Reclamos" sheetId="20" r:id="rId20"/>
    <sheet name="B15 Metodo" sheetId="21" r:id="rId21"/>
    <sheet name="C1 Por escrito" sheetId="22" r:id="rId22"/>
    <sheet name="C2 Verificacion" sheetId="23" r:id="rId23"/>
    <sheet name="C3 Alarmas" sheetId="24" r:id="rId24"/>
    <sheet name="C4 Cartera" sheetId="25" r:id="rId25"/>
    <sheet name="C5 Trimestral" sheetId="26" r:id="rId26"/>
    <sheet name="C6 Riesgo" sheetId="27" r:id="rId27"/>
    <sheet name="D1 Tabla maestra" sheetId="28" r:id="rId28"/>
    <sheet name="D2 Formulas" sheetId="29" r:id="rId29"/>
    <sheet name="D3 Mercado" sheetId="30" r:id="rId30"/>
    <sheet name="D4 Cadena" sheetId="31" r:id="rId31"/>
    <sheet name="D5 Marco" sheetId="32" r:id="rId32"/>
    <sheet name="D6 Impuestos" sheetId="33" r:id="rId33"/>
    <sheet name="D7 Autorizacion" sheetId="34" r:id="rId34"/>
    <sheet name="D8 On-trade" sheetId="35" r:id="rId35"/>
    <sheet name="D9 ROI" sheetId="36" r:id="rId3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22" i="3" l="1"/>
  <c r="F22" i="3" s="1"/>
  <c r="C26" i="36"/>
  <c r="B29" i="36" s="1"/>
  <c r="C21" i="36"/>
  <c r="C20" i="36"/>
  <c r="C19" i="36"/>
  <c r="C18" i="36"/>
  <c r="C13" i="36"/>
  <c r="B15" i="36" s="1"/>
  <c r="C12" i="36"/>
  <c r="C11" i="36"/>
  <c r="C14" i="35"/>
  <c r="C16" i="35" s="1"/>
  <c r="C13" i="35"/>
  <c r="C12" i="35"/>
  <c r="B26" i="34"/>
  <c r="C17" i="33"/>
  <c r="C16" i="33"/>
  <c r="C18" i="33" s="1"/>
  <c r="C23" i="32"/>
  <c r="C22" i="32"/>
  <c r="C20" i="32"/>
  <c r="D23" i="31"/>
  <c r="D22" i="31"/>
  <c r="C22" i="31"/>
  <c r="C23" i="31" s="1"/>
  <c r="D21" i="31"/>
  <c r="C21" i="31"/>
  <c r="G12" i="31"/>
  <c r="E12" i="31"/>
  <c r="G11" i="31"/>
  <c r="E11" i="31"/>
  <c r="G10" i="31"/>
  <c r="E10" i="31"/>
  <c r="G9" i="31"/>
  <c r="E9" i="31"/>
  <c r="G8" i="31"/>
  <c r="E8" i="31"/>
  <c r="C19" i="30"/>
  <c r="C28" i="29"/>
  <c r="C26" i="29"/>
  <c r="C27" i="29" s="1"/>
  <c r="C25" i="29"/>
  <c r="C24" i="29"/>
  <c r="C23" i="29"/>
  <c r="H21" i="28"/>
  <c r="G21" i="28"/>
  <c r="F21" i="28"/>
  <c r="E21" i="28"/>
  <c r="D21" i="28"/>
  <c r="C21" i="28"/>
  <c r="H20" i="28"/>
  <c r="G20" i="28"/>
  <c r="F20" i="28"/>
  <c r="E20" i="28"/>
  <c r="D20" i="28"/>
  <c r="C20" i="28"/>
  <c r="H19" i="28"/>
  <c r="G19" i="28"/>
  <c r="F19" i="28"/>
  <c r="E19" i="28"/>
  <c r="D19" i="28"/>
  <c r="C19" i="28"/>
  <c r="H18" i="28"/>
  <c r="G18" i="28"/>
  <c r="F18" i="28"/>
  <c r="E18" i="28"/>
  <c r="D18" i="28"/>
  <c r="C18" i="28"/>
  <c r="H17" i="28"/>
  <c r="G17" i="28"/>
  <c r="F17" i="28"/>
  <c r="E17" i="28"/>
  <c r="D17" i="28"/>
  <c r="C17" i="28"/>
  <c r="H16" i="28"/>
  <c r="G16" i="28"/>
  <c r="F16" i="28"/>
  <c r="E16" i="28"/>
  <c r="D16" i="28"/>
  <c r="C16" i="28"/>
  <c r="H15" i="28"/>
  <c r="G15" i="28"/>
  <c r="F15" i="28"/>
  <c r="E15" i="28"/>
  <c r="D15" i="28"/>
  <c r="C15" i="28"/>
  <c r="H14" i="28"/>
  <c r="G14" i="28"/>
  <c r="F14" i="28"/>
  <c r="E14" i="28"/>
  <c r="D14" i="28"/>
  <c r="C14" i="28"/>
  <c r="H13" i="28"/>
  <c r="G13" i="28"/>
  <c r="F13" i="28"/>
  <c r="E13" i="28"/>
  <c r="D13" i="28"/>
  <c r="C13" i="28"/>
  <c r="H12" i="28"/>
  <c r="G12" i="28"/>
  <c r="F12" i="28"/>
  <c r="E12" i="28"/>
  <c r="D12" i="28"/>
  <c r="C12" i="28"/>
  <c r="H11" i="28"/>
  <c r="G11" i="28"/>
  <c r="F11" i="28"/>
  <c r="E11" i="28"/>
  <c r="D11" i="28"/>
  <c r="C11" i="28"/>
  <c r="H10" i="28"/>
  <c r="G10" i="28"/>
  <c r="F10" i="28"/>
  <c r="E10" i="28"/>
  <c r="D10" i="28"/>
  <c r="C10" i="28"/>
  <c r="H9" i="28"/>
  <c r="G9" i="28"/>
  <c r="F9" i="28"/>
  <c r="E9" i="28"/>
  <c r="D9" i="28"/>
  <c r="C9" i="28"/>
  <c r="H8" i="28"/>
  <c r="G8" i="28"/>
  <c r="F8" i="28"/>
  <c r="E8" i="28"/>
  <c r="D8" i="28"/>
  <c r="C8" i="28"/>
  <c r="B21" i="27"/>
  <c r="C18" i="27"/>
  <c r="C19" i="27" s="1"/>
  <c r="C17" i="27"/>
  <c r="B19" i="26"/>
  <c r="C17" i="26"/>
  <c r="C12" i="25"/>
  <c r="C13" i="25" s="1"/>
  <c r="C11" i="25"/>
  <c r="C18" i="24"/>
  <c r="C19" i="24" s="1"/>
  <c r="C20" i="24" s="1"/>
  <c r="B12" i="24"/>
  <c r="C22" i="23"/>
  <c r="D21" i="23"/>
  <c r="C21" i="23"/>
  <c r="D20" i="23"/>
  <c r="C20" i="23"/>
  <c r="D19" i="23"/>
  <c r="C19" i="23"/>
  <c r="B16" i="23"/>
  <c r="C14" i="23"/>
  <c r="C13" i="23"/>
  <c r="C12" i="23"/>
  <c r="C11" i="23"/>
  <c r="C23" i="22"/>
  <c r="B17" i="22"/>
  <c r="C15" i="22"/>
  <c r="F17" i="21"/>
  <c r="F18" i="21" s="1"/>
  <c r="D17" i="21"/>
  <c r="D18" i="21" s="1"/>
  <c r="F15" i="21"/>
  <c r="D15" i="21"/>
  <c r="F13" i="21"/>
  <c r="D13" i="21"/>
  <c r="C14" i="20"/>
  <c r="C15" i="20" s="1"/>
  <c r="C13" i="20"/>
  <c r="C12" i="20"/>
  <c r="C18" i="19"/>
  <c r="C17" i="19"/>
  <c r="C16" i="19"/>
  <c r="C11" i="19"/>
  <c r="B13" i="19" s="1"/>
  <c r="C20" i="18"/>
  <c r="C18" i="18"/>
  <c r="C16" i="18"/>
  <c r="C14" i="18"/>
  <c r="C15" i="18" s="1"/>
  <c r="C17" i="18" s="1"/>
  <c r="C19" i="18" s="1"/>
  <c r="B22" i="18" s="1"/>
  <c r="C19" i="17"/>
  <c r="D19" i="17" s="1"/>
  <c r="D18" i="17"/>
  <c r="C18" i="17"/>
  <c r="C17" i="17"/>
  <c r="D17" i="17" s="1"/>
  <c r="C13" i="17"/>
  <c r="C12" i="17"/>
  <c r="C14" i="17" s="1"/>
  <c r="C22" i="16"/>
  <c r="B24" i="16" s="1"/>
  <c r="C21" i="16"/>
  <c r="C20" i="16"/>
  <c r="C9" i="15"/>
  <c r="C12" i="14"/>
  <c r="C13" i="14" s="1"/>
  <c r="B15" i="14" s="1"/>
  <c r="B26" i="13"/>
  <c r="C15" i="13"/>
  <c r="C16" i="13" s="1"/>
  <c r="C17" i="13" s="1"/>
  <c r="C14" i="13"/>
  <c r="E17" i="12"/>
  <c r="D17" i="12"/>
  <c r="D16" i="12"/>
  <c r="E16" i="12" s="1"/>
  <c r="E15" i="12"/>
  <c r="D15" i="12"/>
  <c r="E14" i="12"/>
  <c r="D14" i="12"/>
  <c r="D18" i="12" s="1"/>
  <c r="E13" i="12"/>
  <c r="E18" i="12" s="1"/>
  <c r="D13" i="12"/>
  <c r="F20" i="11"/>
  <c r="E20" i="11"/>
  <c r="D20" i="11"/>
  <c r="F19" i="11"/>
  <c r="E19" i="11"/>
  <c r="D19" i="11"/>
  <c r="F18" i="11"/>
  <c r="E18" i="11"/>
  <c r="D18" i="11"/>
  <c r="F17" i="11"/>
  <c r="E17" i="11"/>
  <c r="D17" i="11"/>
  <c r="C12" i="11"/>
  <c r="B14" i="11" s="1"/>
  <c r="C11" i="11"/>
  <c r="C19" i="10"/>
  <c r="C20" i="10" s="1"/>
  <c r="C13" i="10"/>
  <c r="C12" i="10"/>
  <c r="C11" i="10"/>
  <c r="C10" i="10"/>
  <c r="C30" i="9"/>
  <c r="C29" i="9"/>
  <c r="C28" i="9"/>
  <c r="C27" i="9"/>
  <c r="C26" i="9"/>
  <c r="C25" i="9"/>
  <c r="C18" i="9"/>
  <c r="C17" i="9"/>
  <c r="C20" i="9" s="1"/>
  <c r="C16" i="9"/>
  <c r="C19" i="9" s="1"/>
  <c r="C15" i="9"/>
  <c r="C14" i="9"/>
  <c r="D31" i="8"/>
  <c r="C31" i="8"/>
  <c r="D30" i="8"/>
  <c r="C30" i="8"/>
  <c r="D29" i="8"/>
  <c r="C29" i="8"/>
  <c r="D28" i="8"/>
  <c r="C28" i="8"/>
  <c r="D27" i="8"/>
  <c r="C27" i="8"/>
  <c r="D26" i="8"/>
  <c r="C26" i="8"/>
  <c r="D25" i="8"/>
  <c r="C25" i="8"/>
  <c r="D24" i="8"/>
  <c r="C24" i="8"/>
  <c r="C16" i="8"/>
  <c r="C15" i="8"/>
  <c r="C17" i="8" s="1"/>
  <c r="C13" i="8"/>
  <c r="C14" i="8" s="1"/>
  <c r="C22" i="7"/>
  <c r="C21" i="7"/>
  <c r="C20" i="7"/>
  <c r="C23" i="7" s="1"/>
  <c r="C11" i="7"/>
  <c r="B14" i="7" s="1"/>
  <c r="B18" i="6"/>
  <c r="C15" i="6"/>
  <c r="C12" i="6"/>
  <c r="C11" i="6"/>
  <c r="C10" i="6"/>
  <c r="B20" i="5"/>
  <c r="C18" i="5"/>
  <c r="E17" i="4"/>
  <c r="D17" i="4"/>
  <c r="D16" i="4"/>
  <c r="E16" i="4" s="1"/>
  <c r="E15" i="4"/>
  <c r="D15" i="4"/>
  <c r="E14" i="4"/>
  <c r="D14" i="4"/>
  <c r="E13" i="4"/>
  <c r="D13" i="4"/>
  <c r="D18" i="4" s="1"/>
  <c r="E26" i="3"/>
  <c r="F26" i="3" s="1"/>
  <c r="E25" i="3"/>
  <c r="F25" i="3" s="1"/>
  <c r="E24" i="3"/>
  <c r="F24" i="3" s="1"/>
  <c r="E23" i="3"/>
  <c r="F23" i="3" s="1"/>
  <c r="C17" i="3"/>
  <c r="C16" i="3"/>
  <c r="C15" i="3"/>
  <c r="C14" i="3"/>
  <c r="C13" i="3"/>
  <c r="C12" i="3"/>
  <c r="C11" i="3"/>
  <c r="C10" i="3"/>
  <c r="C25" i="2"/>
  <c r="C24" i="2"/>
  <c r="C23" i="2"/>
  <c r="C22" i="2"/>
  <c r="C21" i="2"/>
  <c r="D20" i="2"/>
  <c r="D21" i="2" s="1"/>
  <c r="D22" i="2" s="1"/>
  <c r="D23" i="2" s="1"/>
  <c r="D24" i="2" s="1"/>
  <c r="D25" i="2" s="1"/>
  <c r="C20" i="2"/>
  <c r="C19" i="2"/>
  <c r="B21" i="12" l="1"/>
  <c r="E19" i="12"/>
  <c r="C19" i="33"/>
  <c r="C20" i="33" s="1"/>
  <c r="E18" i="4"/>
  <c r="D20" i="21"/>
  <c r="D19" i="21"/>
  <c r="D21" i="21" s="1"/>
  <c r="F20" i="21"/>
  <c r="F19" i="21"/>
  <c r="B23" i="21"/>
  <c r="C28" i="2"/>
  <c r="C27" i="2"/>
  <c r="D26" i="2"/>
  <c r="C26" i="2"/>
  <c r="C18" i="8"/>
  <c r="C19" i="8"/>
  <c r="C12" i="7"/>
  <c r="C15" i="35"/>
  <c r="B21" i="4" l="1"/>
  <c r="E19" i="4"/>
</calcChain>
</file>

<file path=xl/sharedStrings.xml><?xml version="1.0" encoding="utf-8"?>
<sst xmlns="http://schemas.openxmlformats.org/spreadsheetml/2006/main" count="1038" uniqueCount="869">
  <si>
    <t>LA VENTAJA DEL EJECUTIVO COMERCIAL</t>
  </si>
  <si>
    <t>Fichas de trabajo con cálculos vivos · Programa Comercial Exponencial SULICOR — Alianza CESA</t>
  </si>
  <si>
    <t>Versión 1.0 · Julio de 2026</t>
  </si>
  <si>
    <t>CÓMO SE USA</t>
  </si>
  <si>
    <t>edite</t>
  </si>
  <si>
    <t>Celda amarilla con letra azul: escriba ahí su dato (lista vigente, cifras del cliente).</t>
  </si>
  <si>
    <t>calcula</t>
  </si>
  <si>
    <t>Celda con letra negra: fórmula viva — no la sobreescriba.</t>
  </si>
  <si>
    <t>Cada hoja es autónoma y llega precargada con el ejemplo del manual. Todas las cifras son ilustrativas: en la calle manda la lista vigente de SULICOR.</t>
  </si>
  <si>
    <t>BLOQUE A — ANTES DE LA REUNIÓN</t>
  </si>
  <si>
    <t>La negociación se gana el día anterior.</t>
  </si>
  <si>
    <t>A1</t>
  </si>
  <si>
    <t>La cuenta completa</t>
  </si>
  <si>
    <t>¿Cuánto deja de verdad este cliente, después de todo?</t>
  </si>
  <si>
    <t>A2</t>
  </si>
  <si>
    <t>Mi piso</t>
  </si>
  <si>
    <t>Los números que llevo escritos y no improviso.</t>
  </si>
  <si>
    <t>A3</t>
  </si>
  <si>
    <t>Lo que me van a pedir</t>
  </si>
  <si>
    <t>Cada petición, convertida a puntos de margen.</t>
  </si>
  <si>
    <t>A4</t>
  </si>
  <si>
    <t>Checklist de preparación</t>
  </si>
  <si>
    <t>Diez casillas. Si falta una, la reunión se aplaza.</t>
  </si>
  <si>
    <t>A5</t>
  </si>
  <si>
    <t>Cliente nuevo</t>
  </si>
  <si>
    <t>Cómo se evalúa y con qué condiciones se abre.</t>
  </si>
  <si>
    <t>BLOQUE B — EN LA MESA</t>
  </si>
  <si>
    <t>Búsquelas por lo que le acaban de decir.</t>
  </si>
  <si>
    <t>B1</t>
  </si>
  <si>
    <t>Le piden descuento sobre factura</t>
  </si>
  <si>
    <t>"Deme un diez y cerramos" · "eso está caro"</t>
  </si>
  <si>
    <t>B2</t>
  </si>
  <si>
    <t>Le piden bonificación en producto</t>
  </si>
  <si>
    <t>"Deme un doce por once"</t>
  </si>
  <si>
    <t>B3</t>
  </si>
  <si>
    <t>Le piden rappel por crecimiento</t>
  </si>
  <si>
    <t>"Págueme un tres por ciento si crezco"</t>
  </si>
  <si>
    <t>B4</t>
  </si>
  <si>
    <t>Le piden plazo</t>
  </si>
  <si>
    <t>"Necesito sesenta días" · "págueme a noventa"</t>
  </si>
  <si>
    <t>B5</t>
  </si>
  <si>
    <t>Le ofrecen pronto pago</t>
  </si>
  <si>
    <t>"Le pago de contado si me rebaja"</t>
  </si>
  <si>
    <t>B6</t>
  </si>
  <si>
    <t>Le piden el paquete completo</t>
  </si>
  <si>
    <t>"Descuento, rappel, exhibición, plazo y bonificación"</t>
  </si>
  <si>
    <t>B7</t>
  </si>
  <si>
    <t>Le comparan con la competencia</t>
  </si>
  <si>
    <t>"El de la competencia me lo deja más barato"</t>
  </si>
  <si>
    <t>B8</t>
  </si>
  <si>
    <t>Le comparan con el discounter</t>
  </si>
  <si>
    <t>"Eso en el D1 vale menos"</t>
  </si>
  <si>
    <t>B9</t>
  </si>
  <si>
    <t>Le están presionando</t>
  </si>
  <si>
    <t>Seis técnicas que va a recibir y cómo responder.</t>
  </si>
  <si>
    <t>B10</t>
  </si>
  <si>
    <t>Líneas rojas</t>
  </si>
  <si>
    <t>Lo que no se negocia, aunque se pierda la cuenta.</t>
  </si>
  <si>
    <t>B11</t>
  </si>
  <si>
    <t>La conversación de cobranza</t>
  </si>
  <si>
    <t>"Todavía no le he podido pagar"</t>
  </si>
  <si>
    <t>B12</t>
  </si>
  <si>
    <t>Le piden una promoción</t>
  </si>
  <si>
    <t>"Hagamos una promo este mes y le muevo el volumen"</t>
  </si>
  <si>
    <t>B13</t>
  </si>
  <si>
    <t>Le piden meter o sacar referencias</t>
  </si>
  <si>
    <t>"Métame esta referencia" · "cóbreme menos por el espacio"</t>
  </si>
  <si>
    <t>B14</t>
  </si>
  <si>
    <t>Le reclaman</t>
  </si>
  <si>
    <t>Devoluciones, averías, fecha corta o una falla nuestra.</t>
  </si>
  <si>
    <t>B15</t>
  </si>
  <si>
    <t>Una negociación completa</t>
  </si>
  <si>
    <t>El método de principio a fin, con las fichas al margen.</t>
  </si>
  <si>
    <t>BLOQUE C — DESPUÉS DE LA REUNIÓN</t>
  </si>
  <si>
    <t>Blindar, cobrar y vigilar el acuerdo.</t>
  </si>
  <si>
    <t>C1</t>
  </si>
  <si>
    <t>Qué queda por escrito</t>
  </si>
  <si>
    <t>Lo que no está escrito, no se cumplió.</t>
  </si>
  <si>
    <t>C2</t>
  </si>
  <si>
    <t>Cómo se verifica el compromiso</t>
  </si>
  <si>
    <t>El mes ocho es el que importa.</t>
  </si>
  <si>
    <t>C3</t>
  </si>
  <si>
    <t>Señales de alarma en la cuenta</t>
  </si>
  <si>
    <t>Cuatro cosas que hay que mirar todos los meses.</t>
  </si>
  <si>
    <t>C4</t>
  </si>
  <si>
    <t>Cartera vencida</t>
  </si>
  <si>
    <t>La escalera por días. Y quién decide cada paso.</t>
  </si>
  <si>
    <t>C5</t>
  </si>
  <si>
    <t>La revisión trimestral</t>
  </si>
  <si>
    <t>Sesenta minutos que valen más que tres visitas.</t>
  </si>
  <si>
    <t>C6</t>
  </si>
  <si>
    <t>Cuenta en riesgo</t>
  </si>
  <si>
    <t>Las señales, y qué cuesta defenderla.</t>
  </si>
  <si>
    <t>BLOQUE D — CONSULTA RÁPIDA</t>
  </si>
  <si>
    <t>Se abren, se lee el dato y se cierran.</t>
  </si>
  <si>
    <t>D1</t>
  </si>
  <si>
    <t>Tabla maestra de descuentos</t>
  </si>
  <si>
    <t>Cuánto volumen pide cada punto, con cualquier margen.</t>
  </si>
  <si>
    <t>D2</t>
  </si>
  <si>
    <t>Fórmulas y glosario</t>
  </si>
  <si>
    <t>Una página con todo lo que hay que saber de memoria.</t>
  </si>
  <si>
    <t>D3</t>
  </si>
  <si>
    <t>Argumentos de mercado</t>
  </si>
  <si>
    <t>Datos para llevar a la mesa, con su fuente.</t>
  </si>
  <si>
    <t>D4</t>
  </si>
  <si>
    <t>Cadena de precios</t>
  </si>
  <si>
    <t>En qué eslabón está el número que le están mostrando.</t>
  </si>
  <si>
    <t>D5</t>
  </si>
  <si>
    <t>El marco de la compañía</t>
  </si>
  <si>
    <t>Por qué un punto de margen pesa lo que pesa.</t>
  </si>
  <si>
    <t>D6</t>
  </si>
  <si>
    <t>Impuestos y reglas del sector</t>
  </si>
  <si>
    <t>Para sostener una discusión de estructura de precio.</t>
  </si>
  <si>
    <t>D7</t>
  </si>
  <si>
    <t>Qué decido yo y qué escalo</t>
  </si>
  <si>
    <t>La matriz de autorización, en una página.</t>
  </si>
  <si>
    <t>D8</t>
  </si>
  <si>
    <t>El cliente on-trade</t>
  </si>
  <si>
    <t>Bares y restaurantes piensan distinto.</t>
  </si>
  <si>
    <t>D9</t>
  </si>
  <si>
    <t>El retorno de una inversión comercial</t>
  </si>
  <si>
    <t>"¿Me conviene pagar esta exhibición o activación?"</t>
  </si>
  <si>
    <t>Fuentes de los ejemplos: EEFF 2024 de SULICOR SAS (Supersociedades, vía Gestor Comercial y de Crédito) · Euromonitor International, Alcoholic Drinks in Colombia, jun. 2025 (Biblioteca CESA) · Ley 1816 de 2016. Los topes de autorización y la tasa de tesorería son datos pendientes de validación con SULICOR.</t>
  </si>
  <si>
    <t>A1 · La cuenta completa</t>
  </si>
  <si>
    <t>◀ Volver al índice</t>
  </si>
  <si>
    <t>Ver también: A3 · B6 · D5</t>
  </si>
  <si>
    <t>Amarillo con letra azul = escriba su dato · Negro = la hoja calcula sola. Precargada con el ejemplo del manual: reemplace por su lista vigente.</t>
  </si>
  <si>
    <t>SUS DATOS DE LA CUENTA</t>
  </si>
  <si>
    <t>Cajas al mes</t>
  </si>
  <si>
    <t>Precio por caja (sin IVA)</t>
  </si>
  <si>
    <t>Margen de contribución</t>
  </si>
  <si>
    <t>Rappel pactado</t>
  </si>
  <si>
    <t>Exhibición pagada ($/mes)</t>
  </si>
  <si>
    <t>Devoluciones y averías (% de la venta)</t>
  </si>
  <si>
    <t>Logística dedicada ($/mes)</t>
  </si>
  <si>
    <t>Días de cartera reales</t>
  </si>
  <si>
    <t>Costo de fondeo anual</t>
  </si>
  <si>
    <t>LA CASCADA — lo que de verdad queda</t>
  </si>
  <si>
    <t>Concepto</t>
  </si>
  <si>
    <t>Valor mensual</t>
  </si>
  <si>
    <t>Queda</t>
  </si>
  <si>
    <t>Venta mensual</t>
  </si>
  <si>
    <t>Contribución bruta (margen de lista)</t>
  </si>
  <si>
    <t>− Rappel</t>
  </si>
  <si>
    <t>− Exhibición pagada</t>
  </si>
  <si>
    <t>− Devoluciones y averías</t>
  </si>
  <si>
    <t>− Logística dedicada</t>
  </si>
  <si>
    <t>− Financiar la cartera (compuesto)</t>
  </si>
  <si>
    <t>CONTRIBUCIÓN NETA</t>
  </si>
  <si>
    <t>Por caja vendida</t>
  </si>
  <si>
    <t>Si concede 2 puntos más, la cuenta queda en</t>
  </si>
  <si>
    <t>El margen de lista no es la rentabilidad de la cuenta. El costo de cartera suele ser el rubro más subestimado: aquí pesa más que exhibición y logística juntas.</t>
  </si>
  <si>
    <t>QUÉ SE DICE: "Antes de hablar de un punto más, miremos juntos qué queda hoy de esta cuenta después de todo lo que ya acordamos." — esta tabla, sobre la mesa, es el argumento.</t>
  </si>
  <si>
    <t>A2 · Mi piso</t>
  </si>
  <si>
    <t>Ver también: B1 · D1 · D2</t>
  </si>
  <si>
    <t>Margen de contribución del producto</t>
  </si>
  <si>
    <t>SU TABLA DEL PISO — Volumen adicional = d ÷ (m − d)</t>
  </si>
  <si>
    <t>Si le piden…</t>
  </si>
  <si>
    <t>El volumen tiene que crecer</t>
  </si>
  <si>
    <t>Regla práctica: si el descuento llega a la mitad del margen, el volumen tiene que duplicarse. Un guion: pierde plata en cada unidad.</t>
  </si>
  <si>
    <t>MIS CINCO PRODUCTOS — margen y piso, escritos antes de salir</t>
  </si>
  <si>
    <t>Producto</t>
  </si>
  <si>
    <t>Costo</t>
  </si>
  <si>
    <t>Precio sin IVA</t>
  </si>
  <si>
    <t>Margen</t>
  </si>
  <si>
    <t>Piso si piden 5%</t>
  </si>
  <si>
    <t>Aguardiente 750 ml</t>
  </si>
  <si>
    <t>Ron 750 ml</t>
  </si>
  <si>
    <t>RTD 269 ml</t>
  </si>
  <si>
    <t>Cerveza (unidad)</t>
  </si>
  <si>
    <t>Whisky 750 ml</t>
  </si>
  <si>
    <t>Descuento máximo sin consultar (tope pendiente de validación con SULICOR)</t>
  </si>
  <si>
    <t>La trampa: calcular el piso en la mesa, de memoria y bajo presión. El piso que no está escrito antes de entrar termina cediendo dos puntos. El "m" es margen de contribución sobre el precio — no markup ni el 7,7% neto de la compañía.</t>
  </si>
  <si>
    <t>QUÉ SE DICE: "Déjeme verificar contra mi tabla y le digo exactamente qué volumen paga ese descuento."</t>
  </si>
  <si>
    <t>A3 · Lo que me van a pedir</t>
  </si>
  <si>
    <t>Cada petición, convertida a puntos de margen (1 punto = 1% de la venta).</t>
  </si>
  <si>
    <t>Ver también: B2 · B3 · B4 · B6</t>
  </si>
  <si>
    <t>Venta mensual de la cuenta</t>
  </si>
  <si>
    <t>Presupuesto de puntos autorizado (lo define la dirección comercial)</t>
  </si>
  <si>
    <t>EL CONVERSOR — todo a la misma unidad</t>
  </si>
  <si>
    <t>Lo que piden</t>
  </si>
  <si>
    <t>Su dato</t>
  </si>
  <si>
    <t>Costo mensual</t>
  </si>
  <si>
    <t>Puntos</t>
  </si>
  <si>
    <t>Descuento sobre factura</t>
  </si>
  <si>
    <t>Rappel sobre volumen total</t>
  </si>
  <si>
    <t>Bonificación 1 en N (escriba N)</t>
  </si>
  <si>
    <t>Plazo adicional (días extra)</t>
  </si>
  <si>
    <t>Exhibición pagada ($)</t>
  </si>
  <si>
    <t>TOTAL DEL PAQUETE</t>
  </si>
  <si>
    <t>Margen que queda si concede todo</t>
  </si>
  <si>
    <t>La trampa: evaluar cada petición por separado. Las cinco suenan moderadas una por una y juntas dejan la cuenta al 12,3% antes de devoluciones, logística y cartera (A1).</t>
  </si>
  <si>
    <t>A4 · Checklist de preparación</t>
  </si>
  <si>
    <t>Ver también: A1 · A2 · A3 · C2</t>
  </si>
  <si>
    <t>MARQUE CON ✓ SOLO SI TIENE EL DATO DE VERDAD</t>
  </si>
  <si>
    <t>1. Tengo la contribución NETA de la cuenta, no solo el margen de lista (A1).</t>
  </si>
  <si>
    <t>2. Tengo escrito el margen de contribución de los productos en juego.</t>
  </si>
  <si>
    <t>3. Tengo calculado el piso de descuento para cada uno (A2).</t>
  </si>
  <si>
    <t>4. Sé cuántos puntos de paquete puedo ofrecer y quién aprueba por encima (D7).</t>
  </si>
  <si>
    <t>5. Sé qué le voy a pedir yo: volumen, mezcla, exhibición o plazo más corto.</t>
  </si>
  <si>
    <t>6. Tengo lista la contrapartida verificable y cómo se va a medir.</t>
  </si>
  <si>
    <t>7. Tengo tres cosas que puedo dar sin tocar el precio.</t>
  </si>
  <si>
    <t>8. Sé cuál es el cumplimiento del compromiso anterior de este cliente (C2).</t>
  </si>
  <si>
    <t>9. Sé con qué NO puedo salir de la reunión (líneas rojas, B10).</t>
  </si>
  <si>
    <t>10. Tengo estas fichas abiertas en las B que espero necesitar.</t>
  </si>
  <si>
    <t>Casillas cumplidas</t>
  </si>
  <si>
    <t>La trampa: tachar casillas sin tener el dato de verdad. "Más o menos sé mi piso" es la casilla 3 sin cumplir — y es la que más cuesta. QUÉ SE DICE al abrir: "Antes de entrar a números, ¿revisamos cómo nos fue con lo acordado la vez pasada?"</t>
  </si>
  <si>
    <t>A5 · Cliente nuevo</t>
  </si>
  <si>
    <t>Abrir mal un cliente es más caro que no abrirlo.</t>
  </si>
  <si>
    <t>Ver también: C4 · D7 · B10</t>
  </si>
  <si>
    <t>Pedido promedio estimado ($)</t>
  </si>
  <si>
    <t>LO QUE ARRIESGA UN CLIENTE QUE NO PAGA</t>
  </si>
  <si>
    <t>Contribución que deja un pedido</t>
  </si>
  <si>
    <t>Costo que arriesga si no paga</t>
  </si>
  <si>
    <t>Pedidos completos, bien cobrados, para reponer UN impago</t>
  </si>
  <si>
    <t>LA REGLA DE APERTURA</t>
  </si>
  <si>
    <t>Cupo inicial sugerido (máximo: un pedido promedio)</t>
  </si>
  <si>
    <t>Cupo que piensa solicitar</t>
  </si>
  <si>
    <t>Qué se evalúa</t>
  </si>
  <si>
    <t>Señal de alarma</t>
  </si>
  <si>
    <t>Capacidad de pago: historial, antigüedad, referencias</t>
  </si>
  <si>
    <t>Sin historial o referencias que no responden</t>
  </si>
  <si>
    <t>Territorio: ¿su zona se cruza con la de un cliente actual?</t>
  </si>
  <si>
    <t>Pide precio mayorista para vender en zona de otro</t>
  </si>
  <si>
    <t>Volumen potencial real: local, tráfico, categorías</t>
  </si>
  <si>
    <t>El potencial declarado no cuadra con el punto</t>
  </si>
  <si>
    <t>Perfil de portafolio: ¿lleva la mezcla o solo lo barato?</t>
  </si>
  <si>
    <t>Solo pregunta por el producto de menor precio</t>
  </si>
  <si>
    <t>Riesgo de arbitraje: ¿por qué pide condiciones de mayorista?</t>
  </si>
  <si>
    <t>Pide volumen que su punto no puede rotar</t>
  </si>
  <si>
    <t>QUÉ SE DICE: "Empecemos con este cupo y estas condiciones. A los tres pagos puntuales revisamos y le mejoro." La trampa: dar las mejores condiciones para captar — el que entra por precio se va por precio.</t>
  </si>
  <si>
    <t>B1 · Le piden descuento sobre factura</t>
  </si>
  <si>
    <t>Ver también: A2 · D1 · B9</t>
  </si>
  <si>
    <t>Descuento que le piden</t>
  </si>
  <si>
    <t>Volumen adicional que el cliente ofrece</t>
  </si>
  <si>
    <t>EL PISO — Volumen adicional = d ÷ (m − d)</t>
  </si>
  <si>
    <t>Volumen que EXIGE ese descuento</t>
  </si>
  <si>
    <t>Brecha contra lo que ofrece</t>
  </si>
  <si>
    <t>LA COMPROBACIÓN, EN BOTELLAS</t>
  </si>
  <si>
    <t>Botellas que compra hoy</t>
  </si>
  <si>
    <t>Contribución de hoy</t>
  </si>
  <si>
    <t>Precio con el descuento</t>
  </si>
  <si>
    <t>Deja por botella</t>
  </si>
  <si>
    <t>Botellas para igualar la contribución</t>
  </si>
  <si>
    <t>QUÉ SE DICE: "Con diez, el volumen tendría que crecer dos tercios. Hagamos otra cosa: le sostengo el precio y le mejoro exhibición y surtido." La trampa: responder a un descuento con otro descuento — se responde con volumen, mezcla, exhibición o plazo más corto.</t>
  </si>
  <si>
    <t>B2 · Le piden bonificación en producto</t>
  </si>
  <si>
    <t>"Deme un doce por once" — el descuento más caro y el que menos se registra.</t>
  </si>
  <si>
    <t>Ver también: B1 · D1 · B6</t>
  </si>
  <si>
    <t>Entrega (unidades)</t>
  </si>
  <si>
    <t>Le pagan (unidades)</t>
  </si>
  <si>
    <t>LA TRADUCCIÓN</t>
  </si>
  <si>
    <t>Descuento equivalente</t>
  </si>
  <si>
    <t>Volumen que exige</t>
  </si>
  <si>
    <t>Factura (paga N)</t>
  </si>
  <si>
    <t>Mercancía entregada (al costo)</t>
  </si>
  <si>
    <t>Contribución real de la operación</t>
  </si>
  <si>
    <t>Margen efectivo</t>
  </si>
  <si>
    <t>Unidades a mover para ganar lo mismo</t>
  </si>
  <si>
    <t>Una bonificación de 1 en N es un descuento de 1÷N. No toca el precio de lista, pero sale del mismo margen — y casi nunca se registra como concesión.</t>
  </si>
  <si>
    <t>1 en N</t>
  </si>
  <si>
    <t>Volumen requerido</t>
  </si>
  <si>
    <t>QUÉ SE DICE: "Ese doce por once es un ocho por ciento largo: me pide crecer la mitad. Déjemelo en veinte por diecinueve, que solo pide 25% y usted sigue teniendo su bonificación."</t>
  </si>
  <si>
    <t>B3 · Le piden rappel por crecimiento</t>
  </si>
  <si>
    <t>"Págueme un tres por ciento si crezco" — sobre el total, es un descuento con otro nombre.</t>
  </si>
  <si>
    <t>Ver también: C1 · C2 · B6</t>
  </si>
  <si>
    <t>Rappel pedido</t>
  </si>
  <si>
    <t>Cajas del año pasado (base)</t>
  </si>
  <si>
    <t>Cajas reales de este año</t>
  </si>
  <si>
    <t>Contribución por caja</t>
  </si>
  <si>
    <t>LA LIQUIDACIÓN — total contra incremental</t>
  </si>
  <si>
    <t>Crecimiento mínimo para no perder (sobre total)</t>
  </si>
  <si>
    <t>Crecimiento real</t>
  </si>
  <si>
    <t>Contribución bruta del año</t>
  </si>
  <si>
    <t>Rappel sobre volumen TOTAL</t>
  </si>
  <si>
    <t>Rappel solo sobre lo INCREMENTAL</t>
  </si>
  <si>
    <t>Ganancia real del crecimiento (rappel sobre total)</t>
  </si>
  <si>
    <t>Lo que vale la palabra "incremental"</t>
  </si>
  <si>
    <t>QUÉ SE DICE: "El rappel se lo pago sobre lo que crezca por encima de la base, no sobre todo el volumen. Así no pago dos veces por lo que usted ya compraba." La trampa: firmarlo sin umbral — se descubre al liquidar, doce meses después (C1).</t>
  </si>
  <si>
    <t>Rappel sobre total</t>
  </si>
  <si>
    <t>Crecimiento mínimo para no perder</t>
  </si>
  <si>
    <t>B4 · Le piden plazo</t>
  </si>
  <si>
    <t>"Necesito sesenta días" — el descuento silencioso.</t>
  </si>
  <si>
    <t>Ver también: B11 · C4 · D5</t>
  </si>
  <si>
    <t>CUÁNTO CUESTA CADA MILLÓN</t>
  </si>
  <si>
    <t>Días de plazo</t>
  </si>
  <si>
    <t>Costo por cada $1.000.000</t>
  </si>
  <si>
    <t>LA CUENTA DE SU CLIENTE</t>
  </si>
  <si>
    <t>Plazo actual (días)</t>
  </si>
  <si>
    <t>Plazo que piden (días)</t>
  </si>
  <si>
    <t>Costo mensual del plazo adicional</t>
  </si>
  <si>
    <t>En puntos de margen</t>
  </si>
  <si>
    <t>QUÉ SE DICE: "El plazo se lo puedo dar, pero cuesta punto y medio de margen. O lo cambiamos por volumen, o lo descontamos de otra parte del paquete."</t>
  </si>
  <si>
    <t>La trampa: dar plazo y descuento en la misma operación, y no reportar el plazo como concesión "porque no es un descuento". Lo es — con riesgo de cartera añadido. Ningún cupo se compromete sin que crédito lo valide (D7).</t>
  </si>
  <si>
    <t>B5 · Le ofrecen pronto pago</t>
  </si>
  <si>
    <t>"Le pago de contado si me rebaja" — anualícelo antes de contestar.</t>
  </si>
  <si>
    <t>Ver también: B4 · D5 · D2</t>
  </si>
  <si>
    <t>Descuento que le ofrecen dar</t>
  </si>
  <si>
    <t>Días que el pago se adelanta</t>
  </si>
  <si>
    <t>Tasa de referencia de tesorería (dato pendiente de validación con SULICOR — estimada)</t>
  </si>
  <si>
    <t>LA TASA REAL — TEA = (1 + d÷(1−d)) ^ (365÷días) − 1</t>
  </si>
  <si>
    <t>Costo del período</t>
  </si>
  <si>
    <t>Tasa anual equivalente (TEA)</t>
  </si>
  <si>
    <t>Le ofrecen</t>
  </si>
  <si>
    <t>Días</t>
  </si>
  <si>
    <t>Tasa anual</t>
  </si>
  <si>
    <t>¿Conviene?</t>
  </si>
  <si>
    <t>Regla práctica: pequeños y a plazos largos, sí; grandes y a plazos cortos, no. La trampa: un 2% por 30 días "para ayudar la caja" cuesta 27,9% anual — y una condición concedida una vez se vuelve permanente. QUÉ SE DICE: "Tres es mucho para cuarenta y cinco días. Le ofrezco uno por ciento pagando a treinta."</t>
  </si>
  <si>
    <t>B6 · Le piden el paquete completo</t>
  </si>
  <si>
    <t>Anote todo, conviértalo a puntos y responda el TOTAL — otro día.</t>
  </si>
  <si>
    <t>Ver también: A3 · B9 · C1</t>
  </si>
  <si>
    <t>Presupuesto de puntos autorizado</t>
  </si>
  <si>
    <t>EL PLIEGO, EN UNA SOLA CUENTA</t>
  </si>
  <si>
    <t>Lo que pide</t>
  </si>
  <si>
    <t>Rappel</t>
  </si>
  <si>
    <t>Días de plazo adicionales</t>
  </si>
  <si>
    <t>Margen restante si concede todo</t>
  </si>
  <si>
    <t>Convención: los puntos y el margen restante se calculan sobre la venta a precio de lista. La trampa: conceder pieza por pieza — el acuerdo se arma al revés: primero el presupuesto de puntos, después el reparto.</t>
  </si>
  <si>
    <t>B7 · Le comparan con la competencia</t>
  </si>
  <si>
    <t>Antes de mover un peso: ¿es comparable?</t>
  </si>
  <si>
    <t>Ver también: B8 · B9 · D4</t>
  </si>
  <si>
    <t>Mi precio (sin IVA)</t>
  </si>
  <si>
    <t>Precio que citan de la competencia</t>
  </si>
  <si>
    <t>Mi plazo (días)</t>
  </si>
  <si>
    <t>Plazo de la oferta citada (días)</t>
  </si>
  <si>
    <t>LA COMPARACIÓN HONESTA</t>
  </si>
  <si>
    <t>Rebaja aparente</t>
  </si>
  <si>
    <t>Precio citado, ajustado a mi plazo</t>
  </si>
  <si>
    <t>Brecha real</t>
  </si>
  <si>
    <t>Volumen que exigiría igualarla</t>
  </si>
  <si>
    <t>¿ES COMPARABLE? — marque solo lo verificado</t>
  </si>
  <si>
    <t>Mismo producto</t>
  </si>
  <si>
    <t>Misma presentación</t>
  </si>
  <si>
    <t>Mismo eslabón de la cadena (D4)</t>
  </si>
  <si>
    <t>Mismas condiciones de plazo</t>
  </si>
  <si>
    <t>Misma bonificación</t>
  </si>
  <si>
    <t>La trampa: igualar una oferta que no se puede ver — habrá una "mejor" cada mes. Y NUNCA comente las condiciones de otro cliente para defenderse: es información sensible con consecuencias legales (B10).</t>
  </si>
  <si>
    <t>B8 · Le comparan con el discounter</t>
  </si>
  <si>
    <t>"Eso en el D1 vale menos" — casi siempre es una marca propia.</t>
  </si>
  <si>
    <t>Ver también: B7 · D3 · D4</t>
  </si>
  <si>
    <t>Precio al público de la marca propia</t>
  </si>
  <si>
    <t>Mi precio al tendero (sin IVA)</t>
  </si>
  <si>
    <t>Margen que el tendero quiere ganarse</t>
  </si>
  <si>
    <t>Mi margen de contribución</t>
  </si>
  <si>
    <t>LA GUERRA QUE NO SE PUEDE GANAR</t>
  </si>
  <si>
    <t>Para vender a ese precio, el tendero compraría a</t>
  </si>
  <si>
    <t>Descuento que me exigiría</t>
  </si>
  <si>
    <t>La marca propia</t>
  </si>
  <si>
    <t>El terreno alternativo</t>
  </si>
  <si>
    <t>Gaelik (whisky) · Dafne (ginebra) · Bahía y Azteca (cerveza): construidas con otra estructura de costo</t>
  </si>
  <si>
    <t>Formato: las marcas entraron al canal con lata de 269 ml y botella de 210 ml — cambiaron el empaque, no el precio</t>
  </si>
  <si>
    <t>Se citan como referencia del mercado, no como afirmación sobre el portafolio de SULICOR</t>
  </si>
  <si>
    <t>Ocasión y rotación: donde el precio no puede competir, compiten el formato y la exhibición</t>
  </si>
  <si>
    <t>QUÉ SE DICE: "Esa es la marca propia de ellos, hecha para costar menos. Comparemos productos comparables. Lo que yo le traigo compite en formato, ocasión y rotación."</t>
  </si>
  <si>
    <t>B9 · Le están presionando</t>
  </si>
  <si>
    <t>La defensa no es carácter: es procedimiento.</t>
  </si>
  <si>
    <t>Ver también: B6 · A4 · B10</t>
  </si>
  <si>
    <t>EL COSTO DE DECIDIR APURADO</t>
  </si>
  <si>
    <t>Puntos que estuvo a punto de ceder "para cerrar ya"</t>
  </si>
  <si>
    <t>Costo de ese "sí" en un año</t>
  </si>
  <si>
    <t>QUÉ SE DICE — la defensa que sirve para las seis técnicas a la vez: "Anoto su solicitud y la sumo al paquete. Le respondo el total el jueves, no pieza por pieza."</t>
  </si>
  <si>
    <t>La técnica</t>
  </si>
  <si>
    <t>Cómo suena</t>
  </si>
  <si>
    <t>La respuesta</t>
  </si>
  <si>
    <t>El ancla</t>
  </si>
  <si>
    <t>"Mi presupuesto es este y no se mueve"</t>
  </si>
  <si>
    <t>No negocie contra el ancla: pregunte cómo se construyó.</t>
  </si>
  <si>
    <t>La cotización invisible</t>
  </si>
  <si>
    <t>"Tengo una oferta mejor"</t>
  </si>
  <si>
    <t>"Tráigala y la miramos línea por línea" (B7).</t>
  </si>
  <si>
    <t>La urgencia</t>
  </si>
  <si>
    <t>"Es hoy o pasamos al otro trimestre"</t>
  </si>
  <si>
    <t>"Le respondo hoy lo autorizado; el resto toma dos días."</t>
  </si>
  <si>
    <t>El escalamiento fingido</t>
  </si>
  <si>
    <t>"Yo lo aprobaría, pero mi jefe no"</t>
  </si>
  <si>
    <t>"Reunión con su jefe y mi gerente, y cerramos el paquete completo."</t>
  </si>
  <si>
    <t>La concesión por partes</t>
  </si>
  <si>
    <t>Pide poco cada vez hasta acumular mucho</t>
  </si>
  <si>
    <t>"Lo anoto y lo sumo al paquete; lo revisamos completo al final."</t>
  </si>
  <si>
    <t>La concesión esperada</t>
  </si>
  <si>
    <t>"Ustedes siempre dan algo al cerrar"</t>
  </si>
  <si>
    <t>"Sin tocar precio puedo dar exhibición, prioridad de despacho o formato. ¿Cuál le sirve?"</t>
  </si>
  <si>
    <t>La trampa: responder la técnica con la misma técnica — su propia urgencia, su jefe fantasma, su cotización inventada. Funciona una vez y destruye la confianza para siempre.</t>
  </si>
  <si>
    <t>B10 · Líneas rojas</t>
  </si>
  <si>
    <t>Las sanciones alcanzan a la persona, no solo a la compañía.</t>
  </si>
  <si>
    <t>Ver también: D6 · D7 · C3</t>
  </si>
  <si>
    <t>LAS OCHO — no se negocian, aunque se pierda la cuenta</t>
  </si>
  <si>
    <t>✕  Venta a menores de dieciocho años. Sin excepciones (Ley 124 de 1994).</t>
  </si>
  <si>
    <t>✕  Condicionar suministro o beneficios al precio de reventa del cliente. El precio de reventa lo fija el cliente, siempre.</t>
  </si>
  <si>
    <t>✕  Servir de puente para que dos clientes coordinen precios, o comentar con un cliente las condiciones de otro.</t>
  </si>
  <si>
    <t>✕  Comprometer cupo de crédito sin validación del área de crédito.</t>
  </si>
  <si>
    <t>✕  Conceder descuentos por encima del tope sin escalar al nivel que corresponde (D7).</t>
  </si>
  <si>
    <t>✕  Comprar, vender o transportar producto cuyo origen no se pueda documentar.</t>
  </si>
  <si>
    <t>✕  Presentar ventas como utilidad, exagerar rotación o inventar escasez.</t>
  </si>
  <si>
    <t>✕  Ocultar al cliente cualquier condición del acuerdo.</t>
  </si>
  <si>
    <t>EL DETECTOR DEL ILÍCITO — nada legal cuesta menos que sus impuestos</t>
  </si>
  <si>
    <t>Grados del producto ofrecido</t>
  </si>
  <si>
    <t>Precio "de oportunidad" que le ofrecen (botella)</t>
  </si>
  <si>
    <t>Precio de referencia legal (botella)</t>
  </si>
  <si>
    <t>Impuesto específico ($325 × grado)</t>
  </si>
  <si>
    <t>Ad valórem 25% + IVA 5% (sobre la referencia)</t>
  </si>
  <si>
    <t>Carga tributaria mínima aproximada</t>
  </si>
  <si>
    <t>QUÉ SE DICE — la frase de salida para cualquier línea roja: "Eso prefiero no discutirlo; lo reviso con mi área jurídica y le respondo." La trampa: creer que una línea roja es negociable si la cuenta es grande.</t>
  </si>
  <si>
    <t>B11 · La conversación de cobranza</t>
  </si>
  <si>
    <t>La mora no es un tema administrativo: es margen.</t>
  </si>
  <si>
    <t>Ver también: C4 · B4 · D5</t>
  </si>
  <si>
    <t>Saldo vencido</t>
  </si>
  <si>
    <t>Días de mora</t>
  </si>
  <si>
    <t>Margen de contribución de esa venta</t>
  </si>
  <si>
    <t>LO QUE CUESTA LA MORA</t>
  </si>
  <si>
    <t>Costo financiero de la mora</t>
  </si>
  <si>
    <t>Contribución que dejó esa venta</t>
  </si>
  <si>
    <t>La mora ya se comió</t>
  </si>
  <si>
    <t>Lo que cuesta</t>
  </si>
  <si>
    <t>Se come de la contribución</t>
  </si>
  <si>
    <t>QUÉ SE DICE: "El pedido de esta semana lo tengo listo; sale apenas entre el pago del [fecha]." La cobranza no se pide como favor: se enuncia como condición. Y un plan concreto — "¿la mitad el viernes y la otra en quince días?" — cobra más que insistir.</t>
  </si>
  <si>
    <t>La trampa: separar la conversación de venta de la de cobranza. Son la misma: despachar sin cobrar es financiar al cliente al 22% con plata de la compañía. La escalera completa de decisiones está en C4.</t>
  </si>
  <si>
    <t>B12 · Le piden una promoción</t>
  </si>
  <si>
    <t>Una promoción se mide sobre su período MÁS el siguiente.</t>
  </si>
  <si>
    <t>Ver también: B1 · D3 · C2</t>
  </si>
  <si>
    <t>Venta base (cajas/mes)</t>
  </si>
  <si>
    <t>Contribución normal por caja</t>
  </si>
  <si>
    <t>Descuento de la promo</t>
  </si>
  <si>
    <t>Cajas reales del mes de promo</t>
  </si>
  <si>
    <t>Cajas reales del mes siguiente</t>
  </si>
  <si>
    <t>LOS DOS MESES JUNTOS</t>
  </si>
  <si>
    <t>Contribución por caja en promo</t>
  </si>
  <si>
    <t>Mes de la promo</t>
  </si>
  <si>
    <t>Mes siguiente</t>
  </si>
  <si>
    <t>Total dos meses</t>
  </si>
  <si>
    <t>Base sin promoción (dos meses)</t>
  </si>
  <si>
    <t>Diferencia</t>
  </si>
  <si>
    <t>Volumen: dos meses contra base</t>
  </si>
  <si>
    <t>QUÉ SE DICE: "Miremos los dos meses juntos. Si en el segundo cae el pedido, no vendimos más: adelantamos. En vez de precio, hagamos actividad: exhibición, la ocasión del partido, un formato distinto — eso sí trae consumidor nuevo." La trampa: repetirla cada trimestre — el cliente que aprende a comprar en promoción deja de comprar a precio pleno.</t>
  </si>
  <si>
    <t>B13 · Le piden meter o sacar referencias</t>
  </si>
  <si>
    <t>La pregunta que ordena todo: ¿qué sale para que esto entre?</t>
  </si>
  <si>
    <t>Ver también: D4 · B8 · D3</t>
  </si>
  <si>
    <t>Fee de entrada que piden</t>
  </si>
  <si>
    <t>Contribución por caja del SKU</t>
  </si>
  <si>
    <t>Cajas al mes que venderá (realista)</t>
  </si>
  <si>
    <t>¿EN CUÁNTO SE PAGA EL FEE? — tope: tres meses</t>
  </si>
  <si>
    <t>Meses en pagarse</t>
  </si>
  <si>
    <t>Si vende (cajas/mes)</t>
  </si>
  <si>
    <t>El fee se paga en (meses)</t>
  </si>
  <si>
    <t>QUÉ SE DICE: "Antes de meter la referencia nueva, ¿cuál sale? Si entra sin que salga nada, se canibaliza sola." La cuenta de góndola — qué le rinde cada metro al cliente — vive en D4.</t>
  </si>
  <si>
    <t>B14 · Le reclaman</t>
  </si>
  <si>
    <t>Primero se resuelve. Después se explica.</t>
  </si>
  <si>
    <t>Ver también: B12 · C5 · D7</t>
  </si>
  <si>
    <t>Valor de la devolución</t>
  </si>
  <si>
    <t>¿El producto es recuperable? (Sí/No)</t>
  </si>
  <si>
    <t>No</t>
  </si>
  <si>
    <t>Logística de recogerlo</t>
  </si>
  <si>
    <t>LO QUE CUESTA DE VERDAD</t>
  </si>
  <si>
    <t>Contribución perdida</t>
  </si>
  <si>
    <t>Costo del producto perdido</t>
  </si>
  <si>
    <t>Pérdida total (incluye logística)</t>
  </si>
  <si>
    <t>Venta nueva necesaria para reponerla</t>
  </si>
  <si>
    <t>QUÉ SE DICE: "Primero resolvámoslo: dígame qué necesita para hoy y lo gestiono. Después miramos por qué pasó." Y para compensar: "Le compenso con prioridad de despacho y exhibición adicional — el precio no se puede devolver después."</t>
  </si>
  <si>
    <t>La primera pregunta es siempre si el producto es recuperable: cambia toda la cuenta. La trampa: compensar una falla PUNTUAL con un descuento PERMANENTE — se corrige un problema de un mes creando uno de doce.</t>
  </si>
  <si>
    <t>B15 · Una negociación completa</t>
  </si>
  <si>
    <t>El caso del autoservicio de 500 cajas, de principio a fin.</t>
  </si>
  <si>
    <t>Ver también: A1 a C2 — todo el método</t>
  </si>
  <si>
    <t>EL PLIEGO CONTRA LA CONTRAPROPUESTA — en puntos</t>
  </si>
  <si>
    <t>Pliego</t>
  </si>
  <si>
    <t>Contraoferta</t>
  </si>
  <si>
    <t xml:space="preserve">Puntos </t>
  </si>
  <si>
    <t>Bonificación: entrega</t>
  </si>
  <si>
    <t>Bonificación: le pagan</t>
  </si>
  <si>
    <t>Peso de esa categoría en la venta</t>
  </si>
  <si>
    <t>aplica a ambas</t>
  </si>
  <si>
    <t>TOTAL EN PUNTOS</t>
  </si>
  <si>
    <t>Margen con que queda la cuenta</t>
  </si>
  <si>
    <t>El método vale, cada mes</t>
  </si>
  <si>
    <t>Paso</t>
  </si>
  <si>
    <t>Qué se hace</t>
  </si>
  <si>
    <t>Fichas</t>
  </si>
  <si>
    <t>1 · La noche anterior</t>
  </si>
  <si>
    <t>Contribución neta, piso escrito, presupuesto, checklist</t>
  </si>
  <si>
    <t>A1 · A2 · A3 · A4</t>
  </si>
  <si>
    <t>2 · Abre la reunión</t>
  </si>
  <si>
    <t>"¿Revisamos lo acordado la vez pasada?" — cumplió 92%</t>
  </si>
  <si>
    <t>A4 · C2</t>
  </si>
  <si>
    <t>3 · Llega el pliego</t>
  </si>
  <si>
    <t>Todo convertido a puntos, en la mesa</t>
  </si>
  <si>
    <t>A3 · B1 · B2 · B4</t>
  </si>
  <si>
    <t>4 · La presión</t>
  </si>
  <si>
    <t>"Es hoy o abro con su competencia" → procedimiento</t>
  </si>
  <si>
    <t>5 · La contrapropuesta</t>
  </si>
  <si>
    <t>3% con volumen verificable · 20×19 · plazo se mantiene</t>
  </si>
  <si>
    <t>B1 · B2 · B6</t>
  </si>
  <si>
    <t>6 · El cierre</t>
  </si>
  <si>
    <t>Unidades, verificación trimestral, condiciones atadas</t>
  </si>
  <si>
    <t>7 · El seguimiento</t>
  </si>
  <si>
    <t>Corte al mes 3: ¿va al ritmo?</t>
  </si>
  <si>
    <t>C2 · C3</t>
  </si>
  <si>
    <t>C1 · Qué queda por escrito</t>
  </si>
  <si>
    <t>Ver también: B3 · C2 · D7</t>
  </si>
  <si>
    <t>LOS SIETE ELEMENTOS — si falta uno, el acuerdo no está cerrado</t>
  </si>
  <si>
    <t>1. El compromiso de volumen en UNIDADES, no en pesos (los pesos se cumplen con inflación).</t>
  </si>
  <si>
    <t>2. El período exacto de medición y las fechas de corte.</t>
  </si>
  <si>
    <t>3. Todas las condiciones concedidas, convertidas a puntos, en un solo lugar.</t>
  </si>
  <si>
    <t>4. Si hay rappel: ¿incremental o total? ¿Desde qué umbral?</t>
  </si>
  <si>
    <t>5. Si hay bonificación: la relación exacta (1 en N) y sobre qué referencias.</t>
  </si>
  <si>
    <t>6. La verificación trimestral con consecuencia explícita.</t>
  </si>
  <si>
    <t>7. La vigencia de las condiciones atada al cumplimiento.</t>
  </si>
  <si>
    <t>Elementos completos</t>
  </si>
  <si>
    <t>LO QUE CUESTA UNA PALABRA — el rappel sin "incremental"</t>
  </si>
  <si>
    <t>Cajas base del año</t>
  </si>
  <si>
    <t>Precio por caja</t>
  </si>
  <si>
    <t>Costo de liquidar sobre la base ya comprada</t>
  </si>
  <si>
    <t>Eso vale la palabra "incremental" en el papel (la cuenta completa está en B3). QUÉ SE DICE: "Se lo dejo hoy mismo por escrito con los siete puntos y me lo confirma por el mismo medio." La trampa: cerrar de palabra y documentar "cuando haya tiempo" — lo escrito en frío nunca favorece al que vende.</t>
  </si>
  <si>
    <t>C2 · Cómo se verifica el compromiso</t>
  </si>
  <si>
    <t>La pregunta no es "¿va cumpliendo?" sino "¿va al ritmo?"</t>
  </si>
  <si>
    <t>Ver también: C1 · C5 · B12</t>
  </si>
  <si>
    <t>Compromiso anual (unidades)</t>
  </si>
  <si>
    <t>Mes de corte (1 a 12)</t>
  </si>
  <si>
    <t>Unidades que lleva</t>
  </si>
  <si>
    <t>EL RITMO</t>
  </si>
  <si>
    <t>Debería llevar</t>
  </si>
  <si>
    <t>Ritmo (lleva ÷ debería)</t>
  </si>
  <si>
    <t>Proyección de cierre a este ritmo</t>
  </si>
  <si>
    <t>Unidades/mes necesarias para llegar</t>
  </si>
  <si>
    <t>Corte</t>
  </si>
  <si>
    <t>Debe llevar</t>
  </si>
  <si>
    <t>Alarma si lleva menos de</t>
  </si>
  <si>
    <t>Acción</t>
  </si>
  <si>
    <t>Mes 3</t>
  </si>
  <si>
    <t>Aviso escrito y plan de recuperación</t>
  </si>
  <si>
    <t>Mes 6</t>
  </si>
  <si>
    <t>Revisión formal de condiciones</t>
  </si>
  <si>
    <t>Mes 9</t>
  </si>
  <si>
    <t>Ajuste para el trimestre restante</t>
  </si>
  <si>
    <t>Cierre</t>
  </si>
  <si>
    <t>—</t>
  </si>
  <si>
    <t>Liquidación según lo pactado</t>
  </si>
  <si>
    <t>QUÉ SE DICE: "Vamos en el mes ocho con 690 de las 1.150. Las condiciones las hemos sostenido completas. ¿Cómo recuperamos, o ajustamos las condiciones al volumen real?" La trampa: descubrir el incumplimiento al liquidar.</t>
  </si>
  <si>
    <t>C3 · Señales de alarma en la cuenta</t>
  </si>
  <si>
    <t>Ver también: B10 · D4 · D7</t>
  </si>
  <si>
    <t>MARQUE LAS SEÑALES ACTIVAS ESTE MES</t>
  </si>
  <si>
    <t>Los pedidos del mayorista crecen sin que crezca su venta al consumidor</t>
  </si>
  <si>
    <t>Arbitraje: revende en territorio de otro</t>
  </si>
  <si>
    <t>Un cliente directo conoce su lista de precios mayorista</t>
  </si>
  <si>
    <t>Fuga de información o arbitraje en curso</t>
  </si>
  <si>
    <t>Las devoluciones suben sin que cambie el volumen</t>
  </si>
  <si>
    <t>Sobrecarga de inventario o producto por vencer</t>
  </si>
  <si>
    <t>La cartera se estira mes a mes sin acuerdo</t>
  </si>
  <si>
    <t>Descuento silencioso en curso</t>
  </si>
  <si>
    <t>LA CUENTA DEL ARBITRAJE</t>
  </si>
  <si>
    <t>Descuento del canal mayorista</t>
  </si>
  <si>
    <t>Margen con que revende el mayorista</t>
  </si>
  <si>
    <t>Mi precio al canal directo</t>
  </si>
  <si>
    <t>El mayorista compra a</t>
  </si>
  <si>
    <t>Puede revender a</t>
  </si>
  <si>
    <t>Por debajo de mi canal directo en</t>
  </si>
  <si>
    <t>Regla: el diferencial de descuento entre canales nunca puede superar el margen con que opera un mayorista. QUÉ SE DICE al jefe de zona, el mismo día: "Tengo tres señales de arbitraje: estos pedidos, esta evidencia y este diferencial. ¿Cómo lo manejamos?"</t>
  </si>
  <si>
    <t>C4 · Cartera vencida</t>
  </si>
  <si>
    <t>Ver también: B11 · B4 · D7</t>
  </si>
  <si>
    <t>Margen de esa venta</t>
  </si>
  <si>
    <t>Escalón de la escalera</t>
  </si>
  <si>
    <t>Costo financiero acumulado</t>
  </si>
  <si>
    <t>Se comió de la contribución</t>
  </si>
  <si>
    <t>Qué hace usted</t>
  </si>
  <si>
    <t>Qué se decide</t>
  </si>
  <si>
    <t>Quién decide</t>
  </si>
  <si>
    <t>1 a 15</t>
  </si>
  <si>
    <t>Llamada y compromiso de fecha por escrito</t>
  </si>
  <si>
    <t>Nada todavía</t>
  </si>
  <si>
    <t>Usted</t>
  </si>
  <si>
    <t>16 a 30</t>
  </si>
  <si>
    <t>Visita, plan de pago documentado</t>
  </si>
  <si>
    <t>Retención del siguiente pedido</t>
  </si>
  <si>
    <t>Usted informa · jefe de zona valida</t>
  </si>
  <si>
    <t>31 a 60</t>
  </si>
  <si>
    <t>Plan formal. Se congela toda condición especial</t>
  </si>
  <si>
    <t>Suspensión de despachos</t>
  </si>
  <si>
    <t>Jefe de zona + crédito</t>
  </si>
  <si>
    <t>Más de 60</t>
  </si>
  <si>
    <t>Entrega del caso; usted mantiene la relación</t>
  </si>
  <si>
    <t>Cobro jurídico o acuerdo de pago</t>
  </si>
  <si>
    <t>Crédito y gerencia</t>
  </si>
  <si>
    <t>QUÉ SE DICE: "Su cuenta está en X días. Para despacharle el pedido de la semana necesito el pago de [monto] el [fecha], o dejamos un plan por escrito hoy. Dígame cuál de las dos."</t>
  </si>
  <si>
    <t>La trampa: sostener el despacho para no perder el volumen del mes — es la decisión que convierte una mora de 30 días en una pérdida de 60 millones. La suspensión no es castigo: es un control de la compañía, y no la decide el ejecutivo solo.</t>
  </si>
  <si>
    <t>C5 · La revisión trimestral</t>
  </si>
  <si>
    <t>No es una visita: es una reunión de negocio con agenda, datos y decisiones.</t>
  </si>
  <si>
    <t>Ver también: A1 · C2 · D3</t>
  </si>
  <si>
    <t>LA AGENDA DE 60 MINUTOS</t>
  </si>
  <si>
    <t>Punto</t>
  </si>
  <si>
    <t>Qué se lleva</t>
  </si>
  <si>
    <t>1 · Cumplimiento del compromiso</t>
  </si>
  <si>
    <t>Unidades comprometidas contra reales, al corte</t>
  </si>
  <si>
    <t>¿Se sostienen o se ajustan las condiciones?</t>
  </si>
  <si>
    <t>2 · Contribución neta de la cuenta</t>
  </si>
  <si>
    <t>La ficha A1 actualizada</t>
  </si>
  <si>
    <t>¿Dónde hay fuga: rappel, devoluciones, cartera?</t>
  </si>
  <si>
    <t>3 · Mezcla</t>
  </si>
  <si>
    <t>Participación de cada categoría contra el plan</t>
  </si>
  <si>
    <t>¿Qué se empuja el próximo trimestre?</t>
  </si>
  <si>
    <t>4 · Servicio</t>
  </si>
  <si>
    <t>Agotados, entregas incompletas, devoluciones</t>
  </si>
  <si>
    <t>Compromisos de ambos lados</t>
  </si>
  <si>
    <t>5 · Plan del trimestre</t>
  </si>
  <si>
    <t>Ocasiones del calendario y actividades</t>
  </si>
  <si>
    <t>Qué se hace, quién y cuándo</t>
  </si>
  <si>
    <t>EL CORTE RÁPIDO DEL TRIMESTRE</t>
  </si>
  <si>
    <t>Unidades comprometidas del trimestre</t>
  </si>
  <si>
    <t>Unidades reales</t>
  </si>
  <si>
    <t>Cumplimiento</t>
  </si>
  <si>
    <t>Se agenda con quince días de anticipación y se llega con todo calculado. QUÉ SE DICE: "Vengo con los números de los dos lados. Empecemos por donde fallamos nosotros." La trampa: llegar a la revisión a pedir — es para decidir, no para negociar.</t>
  </si>
  <si>
    <t>C6 · Cuenta en riesgo</t>
  </si>
  <si>
    <t>Una cuenta rara vez se pierde de un día para otro: avisa durante meses.</t>
  </si>
  <si>
    <t>Ver también: C5 · B9 · A1</t>
  </si>
  <si>
    <t>LAS SEÑALES — marque las activas</t>
  </si>
  <si>
    <t>El pedido baja sin que baje su venta → está comprándole a otro una parte</t>
  </si>
  <si>
    <t>La mezcla se degrada: solo lleva lo barato → perdió interés o prueba a otro proveedor</t>
  </si>
  <si>
    <t>La cartera se estira sin acuerdo → problema de caja, o desinterés</t>
  </si>
  <si>
    <t>Aparece competencia en su mejor exhibición → esa negociación ya ocurrió sin usted</t>
  </si>
  <si>
    <t>Dejan de contestar o delegan hacia abajo → hay que recuperar el interlocutor</t>
  </si>
  <si>
    <t>QUÉ CUESTA PERDERLA CONTRA QUÉ CUESTA DEFENDERLA</t>
  </si>
  <si>
    <t>Contribución neta mensual de la cuenta (A1)</t>
  </si>
  <si>
    <t>Puntos que costaría defenderla</t>
  </si>
  <si>
    <t>Perderla cuesta, al año</t>
  </si>
  <si>
    <t>Defenderla cuesta, al año</t>
  </si>
  <si>
    <t>La defensa vale, frente a la pérdida</t>
  </si>
  <si>
    <t>Defender cuesta una fracción de perder — pero eso autoriza a INVERTIR, no a conceder: la inversión pide contrapartida (volumen, mezcla, exhibición, exclusividad); la concesión no pide nada. QUÉ SE DICE: "Antes de hablar de condiciones, dígame qué está pasando: ¿es precio, servicio, o alguien más le está ofreciendo algo?"</t>
  </si>
  <si>
    <t>D1 · Tabla maestra de descuentos</t>
  </si>
  <si>
    <t>Cuánto volumen pide cada punto, con cualquier margen. Toda la tabla es editable.</t>
  </si>
  <si>
    <t>Ver también: A2 · B1 · B2 · B3</t>
  </si>
  <si>
    <t>VOLUMEN REQUERIDO = d ÷ (m − d)</t>
  </si>
  <si>
    <t>Descuento ↓ · Margen →</t>
  </si>
  <si>
    <t>Cómo leerla: busque el descuento a la izquierda y baje por la columna del margen de su producto. La celda resaltada es el caso más frecuente: 8% con margen de 25% exige +47%. Un guion: el descuento iguala o supera el margen — cada unidad pierde plata.</t>
  </si>
  <si>
    <t>Para bonificación: convierta 1 en N a porcentaje (1÷N) y busque ese descuento. Para rappel sobre volumen total: busque el porcentaje del rappel — el resultado es el crecimiento mínimo para no perder.</t>
  </si>
  <si>
    <t>D2 · Fórmulas y glosario</t>
  </si>
  <si>
    <t>Todo lo que hay que saber de memoria — y un probador en vivo.</t>
  </si>
  <si>
    <t>Ver también: D1 · D5 · A2</t>
  </si>
  <si>
    <t>LAS DIEZ DE MEMORIA</t>
  </si>
  <si>
    <t>Fórmula</t>
  </si>
  <si>
    <t>Se calcula sobre</t>
  </si>
  <si>
    <t>(Precio − Costo) ÷ Precio</t>
  </si>
  <si>
    <t>El precio de venta</t>
  </si>
  <si>
    <t>Markup</t>
  </si>
  <si>
    <t>(Precio − Costo) ÷ Costo</t>
  </si>
  <si>
    <t>El costo</t>
  </si>
  <si>
    <t>Precio desde un margen objetivo</t>
  </si>
  <si>
    <t>Costo ÷ (1 − margen)</t>
  </si>
  <si>
    <t>Se divide, nunca se suma</t>
  </si>
  <si>
    <t>Contribución unitaria</t>
  </si>
  <si>
    <t>Precio − Costo variable</t>
  </si>
  <si>
    <t>Pesos por unidad</t>
  </si>
  <si>
    <t>Volumen que exige un descuento</t>
  </si>
  <si>
    <t>d ÷ (m − d)</t>
  </si>
  <si>
    <t>m = margen de contribución</t>
  </si>
  <si>
    <t>Bonificación 1 en N</t>
  </si>
  <si>
    <t>Descuento = 1 ÷ N</t>
  </si>
  <si>
    <t>Luego, la fórmula anterior</t>
  </si>
  <si>
    <t>Pronto pago</t>
  </si>
  <si>
    <t>d ÷ (1 − d), anualizado</t>
  </si>
  <si>
    <t>Contra el fondeo (~22%)</t>
  </si>
  <si>
    <t>Costo del plazo</t>
  </si>
  <si>
    <t>≈$16.500 por millón cada 30 días</t>
  </si>
  <si>
    <t>Al 22% anual, compuesto</t>
  </si>
  <si>
    <t>Contribución neta de la cuenta</t>
  </si>
  <si>
    <t>Bruta − rappel − exhibición − devol. − logística − cartera</t>
  </si>
  <si>
    <t>La cifra que importa (A1)</t>
  </si>
  <si>
    <t>Rendimiento del inventario del cliente</t>
  </si>
  <si>
    <t>Margen bruto anual ÷ inventario al costo</t>
  </si>
  <si>
    <t>Para surtido y góndola (D4)</t>
  </si>
  <si>
    <t>EL PROBADOR — y los tres errores de vocabulario que cuestan plata</t>
  </si>
  <si>
    <t>Margen objetivo</t>
  </si>
  <si>
    <t>Margen real</t>
  </si>
  <si>
    <t>Markup (el mismo peso, otro nombre)</t>
  </si>
  <si>
    <t>Precio correcto: costo ÷ (1 − margen)</t>
  </si>
  <si>
    <t>ERROR 1 — "sumarle el margen al costo"</t>
  </si>
  <si>
    <t>…margen real de ese error</t>
  </si>
  <si>
    <t>ERROR 2 — "5% y luego 5% son 10%"</t>
  </si>
  <si>
    <t>ERROR 3 — calcular margen sobre el precio CON impuestos: siempre sobre el valor sin IVA. Un punto sobre factura son ~1,3 puntos reales.</t>
  </si>
  <si>
    <t>D3 · Argumentos de mercado</t>
  </si>
  <si>
    <t>Ver también: B7 · B8 · C5</t>
  </si>
  <si>
    <t>SI NECESITA ARGUMENTAR…</t>
  </si>
  <si>
    <t>El argumento</t>
  </si>
  <si>
    <t>El dato</t>
  </si>
  <si>
    <t>Que el aguardiente merece más espacio</t>
  </si>
  <si>
    <t>Ganó volumen en 2024 recibiendo consumidores que dejaron whisky y ron. Innovación hacia menor grado y sabor: Amarillo de Manzanares 24°, Néctar con limón y jengibre, Origen del Valle sin azúcar.</t>
  </si>
  <si>
    <t>Que los RTD son la apuesta de crecimiento</t>
  </si>
  <si>
    <t>La categoría de mayor crecimiento del país en 2024. Like (Quala) le quitó el liderazgo a Smirnoff Ice en dos años con precio bajo y canal tradicional.</t>
  </si>
  <si>
    <t>Que la cerveza no necesita descuento</t>
  </si>
  <si>
    <t>Creció con precio bajo, calor y eliminatorias al Mundial 2026. El crecimiento vino de la gama media, no del premium.</t>
  </si>
  <si>
    <t>Que whisky y ron piden manejo distinto</t>
  </si>
  <si>
    <t>Ambas se contrajeron en 2024. El consumidor no dejó de tomar: cambió de categoría para gastar menos.</t>
  </si>
  <si>
    <t>Que el formato gana donde el precio no puede</t>
  </si>
  <si>
    <t>Bavaria entró a discounters con lata de 269 ml y Coronita de 210 ml en lugar de rematar precio.</t>
  </si>
  <si>
    <t>Que hay ocasiones sin explotar</t>
  </si>
  <si>
    <t>El "tardeo" crece y favorece menor grado. El on-trade perdió ~1.600 establecimientos en dos años.</t>
  </si>
  <si>
    <t>Que el ilícito es un riesgo compartido</t>
  </si>
  <si>
    <t>Cerca del 24% de las bebidas alcohólicas del país son ilícitas: 46% adulteración y 37% contrabando.</t>
  </si>
  <si>
    <t>EL CRECIMIENTO QUE LLEGA SOLO — no lo compre con descuento</t>
  </si>
  <si>
    <t>Venta mensual de la categoría en este cliente</t>
  </si>
  <si>
    <t>Crecimiento anual de la categoría</t>
  </si>
  <si>
    <t>Volumen nuevo del año, sin ceder un punto</t>
  </si>
  <si>
    <t>Fuente de los datos: Euromonitor International, Alcoholic Drinks in Colombia, junio de 2025, vía Biblioteca Digital CESA. Total nacional: su territorio puede comportarse distinto. Las marcas se citan como referencia del mercado, no como afirmación sobre el portafolio de SULICOR.</t>
  </si>
  <si>
    <t>D4 · Cadena de precios</t>
  </si>
  <si>
    <t>¿De qué eslabón es el número que le están mostrando?</t>
  </si>
  <si>
    <t>Ver también: D3 · B13 · A2</t>
  </si>
  <si>
    <t>LOS TRES ESLABONES — edite los precios y mire los márgenes</t>
  </si>
  <si>
    <t>Paga SULICOR</t>
  </si>
  <si>
    <t>Cobra SULICOR</t>
  </si>
  <si>
    <t>Margen SULICOR</t>
  </si>
  <si>
    <t>Cobra el cliente</t>
  </si>
  <si>
    <t>Margen del cliente</t>
  </si>
  <si>
    <t>Cifras ilustrativas, coherentes entre sí para poder seguir las cuentas. Reemplácelas por la lista vigente. Cuando le muestren un precio, la primera pregunta es de qué eslabón es: no se compara un precio al tendero con uno al público.</t>
  </si>
  <si>
    <t>EL ARGUMENTO DE GÓNDOLA — qué le rinde cada metro al cliente</t>
  </si>
  <si>
    <t>Aguardiente</t>
  </si>
  <si>
    <t>Whisky</t>
  </si>
  <si>
    <t>Botellas por metro</t>
  </si>
  <si>
    <t>Costo por botella (para el cliente)</t>
  </si>
  <si>
    <t>Ventas por semana (botellas)</t>
  </si>
  <si>
    <t>Margen del cliente por botella</t>
  </si>
  <si>
    <t>Inversión en inventario del metro</t>
  </si>
  <si>
    <t>Contribución del metro al año</t>
  </si>
  <si>
    <t>RENDIMIENTO por peso invertido</t>
  </si>
  <si>
    <t>QUÉ SE DICE: "Ese metro con aguardiente le rinde 4,9 por peso invertido; con whisky, 1,4. Si vamos a mover espacio, movámoslo hacia lo que le paga mejor." El aguardiente rinde el triple aunque cada botella deje cuatro veces menos.</t>
  </si>
  <si>
    <t>D5 · El marco de la compañía</t>
  </si>
  <si>
    <t>Ver también: B4 · B5 · B11</t>
  </si>
  <si>
    <t>SULICOR 2024 — los números que explican las reglas</t>
  </si>
  <si>
    <t>Indicador</t>
  </si>
  <si>
    <t>2024</t>
  </si>
  <si>
    <t>Qué significa para usted</t>
  </si>
  <si>
    <t>Ventas 2024</t>
  </si>
  <si>
    <t>$170.499 millones</t>
  </si>
  <si>
    <t>Quinta empresa del sector entre 87</t>
  </si>
  <si>
    <t>Crecimiento</t>
  </si>
  <si>
    <t>+23,5%</t>
  </si>
  <si>
    <t>Muy por encima de la inflación</t>
  </si>
  <si>
    <t>Margen bruto</t>
  </si>
  <si>
    <t>58,3%</t>
  </si>
  <si>
    <t>De cada $100 quedan $58,3</t>
  </si>
  <si>
    <t>Margen neto</t>
  </si>
  <si>
    <t>7,7%</t>
  </si>
  <si>
    <t>Después de todo, sobreviven $7,7</t>
  </si>
  <si>
    <t>Costo de la deuda</t>
  </si>
  <si>
    <t>≈22% anual</t>
  </si>
  <si>
    <t>Lo que cuesta cada día de plazo y de inventario</t>
  </si>
  <si>
    <t>Días de inventario</t>
  </si>
  <si>
    <t>177</t>
  </si>
  <si>
    <t>El producto quieto cuesta</t>
  </si>
  <si>
    <t>Días de cartera</t>
  </si>
  <si>
    <t>80</t>
  </si>
  <si>
    <t>Lo que tardamos en cobrar</t>
  </si>
  <si>
    <t>Días de proveedores</t>
  </si>
  <si>
    <t>62</t>
  </si>
  <si>
    <t>Lo que tardamos en pagar</t>
  </si>
  <si>
    <t>Ciclo de caja</t>
  </si>
  <si>
    <t>≈195 días</t>
  </si>
  <si>
    <t>Lo que financiamos al 22%</t>
  </si>
  <si>
    <t>EL PESO DE UN PUNTO — en vivo</t>
  </si>
  <si>
    <t>Margen neto de la compañía</t>
  </si>
  <si>
    <t>Un punto de margen equivale a</t>
  </si>
  <si>
    <t>…de la utilidad neta que esa venta iba a dejar.</t>
  </si>
  <si>
    <t>Costo de financiar $1.000.000 por 30 días (compuesto)</t>
  </si>
  <si>
    <t>Con regla simple (22% ÷ 12) daría</t>
  </si>
  <si>
    <t>LA FRASE QUE RESUME TODO: un punto concedido no es el 1% de la venta — es cerca del 13% de la utilidad neta que esa venta iba a dejar. Y el plazo que se regala se financia al mismo 22% al que crece la compañía.</t>
  </si>
  <si>
    <t>Fuente: EEFF de SULICOR SAS reportados a Supersociedades, corte 31/12/2024, vía Gestor Comercial y de Crédito. Los indicadores derivados (costo implícito de deuda, ciclo de caja) son cálculos sobre esas cifras: valídelos con el área financiera antes de convertirlos en política.</t>
  </si>
  <si>
    <t>D6 · Impuestos y reglas del sector</t>
  </si>
  <si>
    <t>El Estado cobra por valor… y por grado (Ley 1816 de 2016).</t>
  </si>
  <si>
    <t>Ver también: B10 · D3 · A5</t>
  </si>
  <si>
    <t>LAS TARIFAS</t>
  </si>
  <si>
    <t>Categoría</t>
  </si>
  <si>
    <t>Ad valórem</t>
  </si>
  <si>
    <t>Componente específico</t>
  </si>
  <si>
    <t>IVA</t>
  </si>
  <si>
    <t>Licores y aperitivos</t>
  </si>
  <si>
    <t>25%</t>
  </si>
  <si>
    <t>$325 por grado</t>
  </si>
  <si>
    <t>5%</t>
  </si>
  <si>
    <t>Vinos</t>
  </si>
  <si>
    <t>20%</t>
  </si>
  <si>
    <t>$220 por grado</t>
  </si>
  <si>
    <t>Cerveza nacional</t>
  </si>
  <si>
    <t>48% de impoconsumo (Ley 223 de 1995)</t>
  </si>
  <si>
    <t>— (no paga por grado)</t>
  </si>
  <si>
    <t>19%</t>
  </si>
  <si>
    <t>EL LIQUIDADOR DEL GRADO</t>
  </si>
  <si>
    <t>Tipo (Licor/Vino)</t>
  </si>
  <si>
    <t>Licor</t>
  </si>
  <si>
    <t>Grados del producto A</t>
  </si>
  <si>
    <t>Grados del producto B</t>
  </si>
  <si>
    <t>Tarifa por grado</t>
  </si>
  <si>
    <t>Específico botella A</t>
  </si>
  <si>
    <t>Específico botella B</t>
  </si>
  <si>
    <t>Diferencia por botella</t>
  </si>
  <si>
    <t>Diferencia por caja de 12</t>
  </si>
  <si>
    <t>El grado alcohólico es una variable de precio: por eso el producto suave llega más barato al consumidor sin que nadie en la cadena ceda margen. La cerveza no paga por grado: tiene su propio impuesto desde 1995.</t>
  </si>
  <si>
    <t>Tres reglas del sector: los departamentos controlan los destilados vía licoreras (la discusión de libre circulación llegó a la Corte Constitucional); los horarios de venta varían por ciudad (Bogotá: 7 a.m.–11 p.m.); y en fines de semana electorales aplica Ley Seca — 2026 es año de presidenciales. Tarifas de 2024, ajustables cada año: verifique la vigente antes de cotizar.</t>
  </si>
  <si>
    <t>D7 · Qué decido yo y qué escalo</t>
  </si>
  <si>
    <t>Escalar a tiempo no es debilidad: improvisar una autorización sí.</t>
  </si>
  <si>
    <t>Ver también: B10 · C4 · A3</t>
  </si>
  <si>
    <t>LA MATRIZ</t>
  </si>
  <si>
    <t>La decisión</t>
  </si>
  <si>
    <t>Ejecutivo</t>
  </si>
  <si>
    <t>Jefe de zona</t>
  </si>
  <si>
    <t>Gerencia</t>
  </si>
  <si>
    <t>Crédito/Tesorería</t>
  </si>
  <si>
    <t>Descuento dentro del tope de política</t>
  </si>
  <si>
    <t>Decide y registra</t>
  </si>
  <si>
    <t>Se informa</t>
  </si>
  <si>
    <t>Descuento por encima del tope</t>
  </si>
  <si>
    <t>Hasta su tope</t>
  </si>
  <si>
    <t>Aprueba</t>
  </si>
  <si>
    <t>Bonificación en producto</t>
  </si>
  <si>
    <t>Propone</t>
  </si>
  <si>
    <t>Aprueba en tope</t>
  </si>
  <si>
    <t>Sobre el tope</t>
  </si>
  <si>
    <t>Rappel y acuerdos anuales</t>
  </si>
  <si>
    <t>Revisa</t>
  </si>
  <si>
    <t>Valida cartera</t>
  </si>
  <si>
    <t>Plazo por encima del estándar</t>
  </si>
  <si>
    <t>Cupo nuevo o ampliación</t>
  </si>
  <si>
    <t>Suspensión de despachos por mora</t>
  </si>
  <si>
    <t>Informa</t>
  </si>
  <si>
    <t>Decide</t>
  </si>
  <si>
    <t>Precio especial por volumen</t>
  </si>
  <si>
    <t>Devolución extraordinaria</t>
  </si>
  <si>
    <t>Fee de entrada o exhibición pagada</t>
  </si>
  <si>
    <t>SUS TOPES — pendientes de validación con la dirección comercial de SULICOR</t>
  </si>
  <si>
    <t>Mi tope de descuento</t>
  </si>
  <si>
    <t>Mi tope de puntos de paquete</t>
  </si>
  <si>
    <t>Mi tope de devolución</t>
  </si>
  <si>
    <t>Descuento que está a punto de conceder</t>
  </si>
  <si>
    <t>D8 · El cliente on-trade</t>
  </si>
  <si>
    <t>Bares y restaurantes piensan por trago, no por botella. No les hable de margen.</t>
  </si>
  <si>
    <t>Ver también: B13 · A5 · D3</t>
  </si>
  <si>
    <t>Precio de la botella para el bar</t>
  </si>
  <si>
    <t>Mililitros de la botella</t>
  </si>
  <si>
    <t>Mililitros por trago</t>
  </si>
  <si>
    <t>Precio del trago en la carta</t>
  </si>
  <si>
    <t>LA CUENTA DEL BAR</t>
  </si>
  <si>
    <t>Tragos por botella</t>
  </si>
  <si>
    <t>Costo por trago</t>
  </si>
  <si>
    <t>Venta por botella</t>
  </si>
  <si>
    <t>Margen bruto del bar</t>
  </si>
  <si>
    <t>Por cada peso que cuesta la botella, factura</t>
  </si>
  <si>
    <t>El precio de la botella casi nunca es su problema. Sus problemas son la caja, la rotación de la botella abierta, la merma por servido y el espacio de nevera — véndale a esos problemas.</t>
  </si>
  <si>
    <t>Lo que NO funciona</t>
  </si>
  <si>
    <t>Lo que sí funciona</t>
  </si>
  <si>
    <t>Hablarle de margen sobre el costo de la botella</t>
  </si>
  <si>
    <t>Costo por trago y cuántos tragos rinde cada presentación</t>
  </si>
  <si>
    <t>Pedidos grandes con descuento por volumen</t>
  </si>
  <si>
    <t>Pedidos pequeños y frecuentes: su problema es la caja</t>
  </si>
  <si>
    <t>Plazos largos</t>
  </si>
  <si>
    <t>Plazos cortos con entregas frecuentes: menos riesgo para los dos</t>
  </si>
  <si>
    <t>Portafolio amplio</t>
  </si>
  <si>
    <t>Pocas referencias que roten: la botella abierta que no rota se merma</t>
  </si>
  <si>
    <t>Argumentos de exhibición</t>
  </si>
  <si>
    <t>Carta, sugerencia del mesero y ocasión — el tardeo es la que más crece</t>
  </si>
  <si>
    <t>El canal perdió ~1.600 establecimientos en dos años y se recupera por el tardeo. La trampa: aplicarle el cupo y el plazo del retail — más riesgo de cartera y más rotación de propietario: cupos cortos y seguimiento cercano.</t>
  </si>
  <si>
    <t>D9 · El retorno de una inversión comercial</t>
  </si>
  <si>
    <t>ROI = (Contribución incremental − Inversión) ÷ Inversión</t>
  </si>
  <si>
    <t>Ver también: A1 · B12 · C2 · D5</t>
  </si>
  <si>
    <t>Inversión (exhibición, activación, material)</t>
  </si>
  <si>
    <t>Cajas incrementales contra línea base</t>
  </si>
  <si>
    <t>LA CUENTA</t>
  </si>
  <si>
    <t>Cajas de equilibrio (la inversión se paga con…)</t>
  </si>
  <si>
    <t>Contribución incremental</t>
  </si>
  <si>
    <t>ROI</t>
  </si>
  <si>
    <t>Si las cajas incrementales fueran…</t>
  </si>
  <si>
    <t>El ROI sería</t>
  </si>
  <si>
    <t>¿Y CUÁNDO LA PALANCA ES EL PRECIO? — elasticidad práctica</t>
  </si>
  <si>
    <t>Descuento que probó la última vez</t>
  </si>
  <si>
    <t>Volumen que EXIGÍA la tabla</t>
  </si>
  <si>
    <t>Volumen que realmente se movió</t>
  </si>
  <si>
    <t>La misma vara sirve para activaciones, material POP y degustaciones. La trampa: renovar por costumbre sin línea base, y atribuir a la inversión el crecimiento estacional que iba a ocurrir de todos modos. Línea base: el mismo mes del año anterior o clientes comparables sin la inversión (C2).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</si>
</sst>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0.0%"/>
    <numFmt numFmtId="166" formatCode="\+0%;\-0%"/>
    <numFmt numFmtId="167" formatCode="0.0"/>
    <numFmt numFmtId="168" formatCode="0.0&quot; pts&quot;"/>
  </numFmts>
  <fonts count="28" x14ac:knownFonts="1">
    <font>
      <sz val="11"/>
      <color theme="1"/>
      <name val="Calibri"/>
      <family val="2"/>
      <charset val="1"/>
    </font>
    <font>
      <b/>
      <sz val="15"/>
      <color rgb="FFFFFFFF"/>
      <name val="Arial"/>
      <family val="2"/>
    </font>
    <font>
      <i/>
      <sz val="10"/>
      <color rgb="FF5A6472"/>
      <name val="Arial"/>
      <family val="2"/>
    </font>
    <font>
      <sz val="9"/>
      <color rgb="FF5A6472"/>
      <name val="Arial"/>
      <family val="2"/>
    </font>
    <font>
      <b/>
      <sz val="10"/>
      <color rgb="FF0F1F4B"/>
      <name val="Arial"/>
      <family val="2"/>
    </font>
    <font>
      <b/>
      <sz val="10"/>
      <color rgb="FF0000FF"/>
      <name val="Arial"/>
      <family val="2"/>
    </font>
    <font>
      <sz val="9.5"/>
      <color rgb="FF1A1A1A"/>
      <name val="Arial"/>
      <family val="2"/>
    </font>
    <font>
      <b/>
      <sz val="10"/>
      <color rgb="FF1A1A1A"/>
      <name val="Arial"/>
      <family val="2"/>
    </font>
    <font>
      <i/>
      <sz val="9"/>
      <color rgb="FF5A6472"/>
      <name val="Arial"/>
      <family val="2"/>
    </font>
    <font>
      <b/>
      <sz val="10.5"/>
      <color rgb="FF0F1F4B"/>
      <name val="Arial"/>
      <family val="2"/>
    </font>
    <font>
      <b/>
      <u/>
      <sz val="10"/>
      <color rgb="FF2E9E4F"/>
      <name val="Arial"/>
      <family val="2"/>
    </font>
    <font>
      <sz val="9.5"/>
      <color rgb="FF5A6472"/>
      <name val="Arial"/>
      <family val="2"/>
    </font>
    <font>
      <b/>
      <u/>
      <sz val="10"/>
      <color rgb="FF2F6FD0"/>
      <name val="Arial"/>
      <family val="2"/>
    </font>
    <font>
      <b/>
      <u/>
      <sz val="10"/>
      <color rgb="FFE8A13D"/>
      <name val="Arial"/>
      <family val="2"/>
    </font>
    <font>
      <b/>
      <u/>
      <sz val="10"/>
      <color rgb="FF0F1F4B"/>
      <name val="Arial"/>
      <family val="2"/>
    </font>
    <font>
      <i/>
      <sz val="8.5"/>
      <color rgb="FF5A6472"/>
      <name val="Arial"/>
      <family val="2"/>
    </font>
    <font>
      <b/>
      <sz val="13"/>
      <color rgb="FFFFFFFF"/>
      <name val="Arial"/>
      <family val="2"/>
    </font>
    <font>
      <u/>
      <sz val="9"/>
      <color rgb="FF1155CC"/>
      <name val="Arial"/>
      <family val="2"/>
    </font>
    <font>
      <sz val="8.5"/>
      <color rgb="FF5A6472"/>
      <name val="Arial"/>
      <family val="2"/>
    </font>
    <font>
      <sz val="10"/>
      <color rgb="FF1A1A1A"/>
      <name val="Arial"/>
      <family val="2"/>
    </font>
    <font>
      <b/>
      <sz val="9"/>
      <color rgb="FFFFFFFF"/>
      <name val="Arial"/>
      <family val="2"/>
    </font>
    <font>
      <sz val="9.5"/>
      <name val="Arial"/>
      <family val="2"/>
    </font>
    <font>
      <b/>
      <sz val="9.5"/>
      <name val="Arial"/>
      <family val="2"/>
    </font>
    <font>
      <b/>
      <sz val="10"/>
      <color rgb="FF1E7A3A"/>
      <name val="Arial"/>
      <family val="2"/>
    </font>
    <font>
      <b/>
      <sz val="10"/>
      <color rgb="FFB3261E"/>
      <name val="Arial"/>
      <family val="2"/>
    </font>
    <font>
      <b/>
      <sz val="9.5"/>
      <color rgb="FF0000FF"/>
      <name val="Arial"/>
      <family val="2"/>
    </font>
    <font>
      <sz val="10"/>
      <color rgb="FFB3261E"/>
      <name val="Arial"/>
      <family val="2"/>
    </font>
    <font>
      <i/>
      <sz val="10"/>
      <color rgb="FF1A1A1A"/>
      <name val="Arial"/>
      <family val="2"/>
    </font>
  </fonts>
  <fills count="14">
    <fill>
      <patternFill patternType="none"/>
    </fill>
    <fill>
      <patternFill patternType="gray125"/>
    </fill>
    <fill>
      <patternFill patternType="solid">
        <fgColor rgb="FF0F1F4B"/>
        <bgColor rgb="FF1A1A1A"/>
      </patternFill>
    </fill>
    <fill>
      <patternFill patternType="solid">
        <fgColor rgb="FFFFF3B0"/>
        <bgColor rgb="FFFFE9A8"/>
      </patternFill>
    </fill>
    <fill>
      <patternFill patternType="solid">
        <fgColor rgb="FFE9F5EC"/>
        <bgColor rgb="FFF2F4F7"/>
      </patternFill>
    </fill>
    <fill>
      <patternFill patternType="solid">
        <fgColor rgb="FFF2F4F7"/>
        <bgColor rgb="FFEAF0FB"/>
      </patternFill>
    </fill>
    <fill>
      <patternFill patternType="solid">
        <fgColor rgb="FFEAF0FB"/>
        <bgColor rgb="FFE9EDF6"/>
      </patternFill>
    </fill>
    <fill>
      <patternFill patternType="solid">
        <fgColor rgb="FFFBF1DF"/>
        <bgColor rgb="FFFFF7E0"/>
      </patternFill>
    </fill>
    <fill>
      <patternFill patternType="solid">
        <fgColor rgb="FFE9EDF6"/>
        <bgColor rgb="FFEAF0FB"/>
      </patternFill>
    </fill>
    <fill>
      <patternFill patternType="solid">
        <fgColor rgb="FF2E9E4F"/>
        <bgColor rgb="FF1E7A3A"/>
      </patternFill>
    </fill>
    <fill>
      <patternFill patternType="solid">
        <fgColor rgb="FFFFF7E0"/>
        <bgColor rgb="FFFBF1DF"/>
      </patternFill>
    </fill>
    <fill>
      <patternFill patternType="solid">
        <fgColor rgb="FF2F6FD0"/>
        <bgColor rgb="FF1155CC"/>
      </patternFill>
    </fill>
    <fill>
      <patternFill patternType="solid">
        <fgColor rgb="FFE8A13D"/>
        <bgColor rgb="FFFF8080"/>
      </patternFill>
    </fill>
    <fill>
      <patternFill patternType="solid">
        <fgColor rgb="FFFFE9A8"/>
        <bgColor rgb="FFFFF3B0"/>
      </patternFill>
    </fill>
  </fills>
  <borders count="4">
    <border>
      <left/>
      <right/>
      <top/>
      <bottom/>
      <diagonal/>
    </border>
    <border>
      <left style="thin">
        <color rgb="FFD6DBE2"/>
      </left>
      <right style="thin">
        <color rgb="FFD6DBE2"/>
      </right>
      <top style="thin">
        <color rgb="FFD6DBE2"/>
      </top>
      <bottom style="thin">
        <color rgb="FFD6DBE2"/>
      </bottom>
      <diagonal/>
    </border>
    <border>
      <left/>
      <right/>
      <top/>
      <bottom style="thin">
        <color rgb="FF9AA3AF"/>
      </bottom>
      <diagonal/>
    </border>
    <border>
      <left/>
      <right/>
      <top style="thin">
        <color rgb="FF9AA3AF"/>
      </top>
      <bottom style="thin">
        <color rgb="FF9AA3AF"/>
      </bottom>
      <diagonal/>
    </border>
  </borders>
  <cellStyleXfs count="1">
    <xf numFmtId="0" fontId="0" fillId="0" borderId="0"/>
  </cellStyleXfs>
  <cellXfs count="97">
    <xf numFmtId="0" fontId="0" fillId="0" borderId="0" xfId="0"/>
    <xf numFmtId="0" fontId="1" fillId="2" borderId="0" xfId="0" applyFont="1" applyFill="1" applyAlignment="1">
      <alignment vertical="center"/>
    </xf>
    <xf numFmtId="0" fontId="0" fillId="2" borderId="0" xfId="0" applyFill="1"/>
    <xf numFmtId="0" fontId="2" fillId="0" borderId="0" xfId="0" applyFont="1"/>
    <xf numFmtId="0" fontId="3" fillId="0" borderId="0" xfId="0" applyFont="1"/>
    <xf numFmtId="0" fontId="4" fillId="0" borderId="0" xfId="0" applyFont="1"/>
    <xf numFmtId="3" fontId="5" fillId="3" borderId="1" xfId="0" applyNumberFormat="1" applyFont="1" applyFill="1" applyBorder="1" applyAlignment="1">
      <alignment horizontal="center" vertical="center"/>
    </xf>
    <xf numFmtId="0" fontId="6" fillId="0" borderId="0" xfId="0" applyFont="1"/>
    <xf numFmtId="3" fontId="7" fillId="0" borderId="0" xfId="0" applyNumberFormat="1" applyFont="1" applyAlignment="1">
      <alignment horizontal="center" vertical="center"/>
    </xf>
    <xf numFmtId="0" fontId="8" fillId="0" borderId="0" xfId="0" applyFont="1" applyAlignment="1">
      <alignment vertical="top" wrapText="1"/>
    </xf>
    <xf numFmtId="0" fontId="9" fillId="4" borderId="2" xfId="0" applyFont="1" applyFill="1" applyBorder="1"/>
    <xf numFmtId="0" fontId="0" fillId="4" borderId="2" xfId="0" applyFill="1" applyBorder="1"/>
    <xf numFmtId="0" fontId="8" fillId="4" borderId="2" xfId="0" applyFont="1" applyFill="1" applyBorder="1"/>
    <xf numFmtId="0" fontId="10" fillId="0" borderId="0" xfId="0" applyFont="1" applyAlignment="1">
      <alignment horizontal="center"/>
    </xf>
    <xf numFmtId="0" fontId="7" fillId="0" borderId="0" xfId="0" applyFont="1"/>
    <xf numFmtId="0" fontId="11" fillId="0" borderId="0" xfId="0" applyFont="1"/>
    <xf numFmtId="0" fontId="10" fillId="5" borderId="0" xfId="0" applyFont="1" applyFill="1" applyAlignment="1">
      <alignment horizontal="center"/>
    </xf>
    <xf numFmtId="0" fontId="7" fillId="5" borderId="0" xfId="0" applyFont="1" applyFill="1"/>
    <xf numFmtId="0" fontId="11" fillId="5" borderId="0" xfId="0" applyFont="1" applyFill="1"/>
    <xf numFmtId="0" fontId="9" fillId="6" borderId="2" xfId="0" applyFont="1" applyFill="1" applyBorder="1"/>
    <xf numFmtId="0" fontId="0" fillId="6" borderId="2" xfId="0" applyFill="1" applyBorder="1"/>
    <xf numFmtId="0" fontId="8" fillId="6" borderId="2" xfId="0" applyFont="1" applyFill="1" applyBorder="1"/>
    <xf numFmtId="0" fontId="12" fillId="5" borderId="0" xfId="0" applyFont="1" applyFill="1" applyAlignment="1">
      <alignment horizontal="center"/>
    </xf>
    <xf numFmtId="0" fontId="12" fillId="0" borderId="0" xfId="0" applyFont="1" applyAlignment="1">
      <alignment horizontal="center"/>
    </xf>
    <xf numFmtId="0" fontId="9" fillId="7" borderId="2" xfId="0" applyFont="1" applyFill="1" applyBorder="1"/>
    <xf numFmtId="0" fontId="0" fillId="7" borderId="2" xfId="0" applyFill="1" applyBorder="1"/>
    <xf numFmtId="0" fontId="8" fillId="7" borderId="2" xfId="0" applyFont="1" applyFill="1" applyBorder="1"/>
    <xf numFmtId="0" fontId="13" fillId="0" borderId="0" xfId="0" applyFont="1" applyAlignment="1">
      <alignment horizontal="center"/>
    </xf>
    <xf numFmtId="0" fontId="13" fillId="5" borderId="0" xfId="0" applyFont="1" applyFill="1" applyAlignment="1">
      <alignment horizontal="center"/>
    </xf>
    <xf numFmtId="0" fontId="9" fillId="8" borderId="2" xfId="0" applyFont="1" applyFill="1" applyBorder="1"/>
    <xf numFmtId="0" fontId="0" fillId="8" borderId="2" xfId="0" applyFill="1" applyBorder="1"/>
    <xf numFmtId="0" fontId="8" fillId="8" borderId="2" xfId="0" applyFont="1" applyFill="1" applyBorder="1"/>
    <xf numFmtId="0" fontId="14" fillId="0" borderId="0" xfId="0" applyFont="1" applyAlignment="1">
      <alignment horizontal="center"/>
    </xf>
    <xf numFmtId="0" fontId="14" fillId="5" borderId="0" xfId="0" applyFont="1" applyFill="1" applyAlignment="1">
      <alignment horizontal="center"/>
    </xf>
    <xf numFmtId="0" fontId="15" fillId="0" borderId="0" xfId="0" applyFont="1" applyAlignment="1">
      <alignment vertical="top" wrapText="1"/>
    </xf>
    <xf numFmtId="0" fontId="0" fillId="9" borderId="0" xfId="0" applyFill="1"/>
    <xf numFmtId="0" fontId="16" fillId="2" borderId="0" xfId="0" applyFont="1" applyFill="1" applyAlignment="1">
      <alignment vertical="center"/>
    </xf>
    <xf numFmtId="0" fontId="17" fillId="0" borderId="0" xfId="0" applyFont="1"/>
    <xf numFmtId="0" fontId="8" fillId="0" borderId="0" xfId="0" applyFont="1"/>
    <xf numFmtId="0" fontId="18" fillId="0" borderId="0" xfId="0" applyFont="1"/>
    <xf numFmtId="0" fontId="4" fillId="4" borderId="2" xfId="0" applyFont="1" applyFill="1" applyBorder="1"/>
    <xf numFmtId="0" fontId="19" fillId="0" borderId="0" xfId="0" applyFont="1" applyAlignment="1">
      <alignment vertical="center" wrapText="1"/>
    </xf>
    <xf numFmtId="164" fontId="5" fillId="3" borderId="1" xfId="0" applyNumberFormat="1" applyFont="1" applyFill="1" applyBorder="1" applyAlignment="1">
      <alignment horizontal="center" vertical="center"/>
    </xf>
    <xf numFmtId="9" fontId="5" fillId="3" borderId="1" xfId="0" applyNumberFormat="1" applyFont="1" applyFill="1" applyBorder="1" applyAlignment="1">
      <alignment horizontal="center" vertical="center"/>
    </xf>
    <xf numFmtId="165" fontId="5" fillId="3"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21" fillId="0" borderId="1" xfId="0" applyFont="1" applyBorder="1" applyAlignment="1">
      <alignment vertical="center" wrapText="1"/>
    </xf>
    <xf numFmtId="164" fontId="22" fillId="0" borderId="1" xfId="0" applyNumberFormat="1" applyFont="1" applyBorder="1" applyAlignment="1">
      <alignment horizontal="center" vertical="center"/>
    </xf>
    <xf numFmtId="0" fontId="21" fillId="5" borderId="1" xfId="0" applyFont="1" applyFill="1" applyBorder="1" applyAlignment="1">
      <alignment vertical="center" wrapText="1"/>
    </xf>
    <xf numFmtId="0" fontId="7" fillId="0" borderId="0" xfId="0" applyFont="1" applyAlignment="1">
      <alignment vertical="center" wrapText="1"/>
    </xf>
    <xf numFmtId="164" fontId="23" fillId="0" borderId="0" xfId="0" applyNumberFormat="1" applyFont="1" applyAlignment="1">
      <alignment horizontal="center" vertical="center"/>
    </xf>
    <xf numFmtId="165" fontId="23" fillId="0" borderId="0" xfId="0" applyNumberFormat="1" applyFont="1" applyAlignment="1">
      <alignment horizontal="center" vertical="center"/>
    </xf>
    <xf numFmtId="164" fontId="7" fillId="0" borderId="0" xfId="0" applyNumberFormat="1" applyFont="1" applyAlignment="1">
      <alignment horizontal="center" vertical="center"/>
    </xf>
    <xf numFmtId="165" fontId="24" fillId="0" borderId="0" xfId="0" applyNumberFormat="1" applyFont="1" applyAlignment="1">
      <alignment horizontal="center" vertical="center"/>
    </xf>
    <xf numFmtId="0" fontId="4" fillId="10" borderId="3" xfId="0" applyFont="1" applyFill="1" applyBorder="1" applyAlignment="1">
      <alignment vertical="center" wrapText="1"/>
    </xf>
    <xf numFmtId="0" fontId="0" fillId="10" borderId="3" xfId="0" applyFill="1" applyBorder="1"/>
    <xf numFmtId="9" fontId="25" fillId="3" borderId="1" xfId="0" applyNumberFormat="1" applyFont="1" applyFill="1" applyBorder="1" applyAlignment="1">
      <alignment horizontal="center" vertical="center"/>
    </xf>
    <xf numFmtId="166" fontId="22" fillId="0" borderId="1" xfId="0" applyNumberFormat="1" applyFont="1" applyBorder="1" applyAlignment="1">
      <alignment horizontal="center" vertical="center"/>
    </xf>
    <xf numFmtId="49" fontId="25" fillId="3" borderId="1" xfId="0" applyNumberFormat="1" applyFont="1" applyFill="1" applyBorder="1" applyAlignment="1">
      <alignment horizontal="center" vertical="center"/>
    </xf>
    <xf numFmtId="164" fontId="25" fillId="3" borderId="1" xfId="0" applyNumberFormat="1" applyFont="1" applyFill="1" applyBorder="1" applyAlignment="1">
      <alignment horizontal="center" vertical="center"/>
    </xf>
    <xf numFmtId="165" fontId="22" fillId="0" borderId="1" xfId="0" applyNumberFormat="1" applyFont="1" applyBorder="1" applyAlignment="1">
      <alignment horizontal="center" vertical="center"/>
    </xf>
    <xf numFmtId="167" fontId="5" fillId="3" borderId="1" xfId="0" applyNumberFormat="1" applyFont="1" applyFill="1" applyBorder="1" applyAlignment="1">
      <alignment horizontal="center" vertical="center"/>
    </xf>
    <xf numFmtId="168" fontId="22" fillId="0" borderId="1" xfId="0" applyNumberFormat="1" applyFont="1" applyBorder="1" applyAlignment="1">
      <alignment horizontal="center" vertical="center"/>
    </xf>
    <xf numFmtId="3" fontId="25" fillId="3" borderId="1" xfId="0" applyNumberFormat="1" applyFont="1" applyFill="1" applyBorder="1" applyAlignment="1">
      <alignment horizontal="center" vertical="center"/>
    </xf>
    <xf numFmtId="164" fontId="24" fillId="0" borderId="0" xfId="0" applyNumberFormat="1" applyFont="1" applyAlignment="1">
      <alignment horizontal="center" vertical="center"/>
    </xf>
    <xf numFmtId="168" fontId="24" fillId="0" borderId="0" xfId="0" applyNumberFormat="1" applyFont="1" applyAlignment="1">
      <alignment horizontal="center" vertical="center"/>
    </xf>
    <xf numFmtId="168" fontId="7" fillId="0" borderId="0" xfId="0" applyNumberFormat="1" applyFont="1" applyAlignment="1">
      <alignment horizontal="center" vertical="center"/>
    </xf>
    <xf numFmtId="49" fontId="5" fillId="3" borderId="1" xfId="0" applyNumberFormat="1" applyFont="1" applyFill="1" applyBorder="1" applyAlignment="1">
      <alignment horizontal="center" vertical="center"/>
    </xf>
    <xf numFmtId="49" fontId="7" fillId="0" borderId="0" xfId="0" applyNumberFormat="1" applyFont="1" applyAlignment="1">
      <alignment horizontal="center" vertical="center"/>
    </xf>
    <xf numFmtId="167" fontId="24" fillId="0" borderId="0" xfId="0" applyNumberFormat="1" applyFont="1" applyAlignment="1">
      <alignment horizontal="center" vertical="center"/>
    </xf>
    <xf numFmtId="0" fontId="0" fillId="11" borderId="0" xfId="0" applyFill="1"/>
    <xf numFmtId="0" fontId="4" fillId="6" borderId="2" xfId="0" applyFont="1" applyFill="1" applyBorder="1"/>
    <xf numFmtId="166" fontId="24" fillId="0" borderId="0" xfId="0" applyNumberFormat="1" applyFont="1" applyAlignment="1">
      <alignment horizontal="center" vertical="center"/>
    </xf>
    <xf numFmtId="166" fontId="7" fillId="0" borderId="0" xfId="0" applyNumberFormat="1" applyFont="1" applyAlignment="1">
      <alignment horizontal="center" vertical="center"/>
    </xf>
    <xf numFmtId="165" fontId="7" fillId="0" borderId="0" xfId="0" applyNumberFormat="1" applyFont="1" applyAlignment="1">
      <alignment horizontal="center" vertical="center"/>
    </xf>
    <xf numFmtId="49" fontId="22" fillId="0" borderId="1" xfId="0" applyNumberFormat="1" applyFont="1" applyBorder="1" applyAlignment="1">
      <alignment horizontal="center" vertical="center"/>
    </xf>
    <xf numFmtId="0" fontId="26" fillId="0" borderId="0" xfId="0" applyFont="1" applyAlignment="1">
      <alignment vertical="center" wrapText="1"/>
    </xf>
    <xf numFmtId="167" fontId="22" fillId="0" borderId="1" xfId="0" applyNumberFormat="1" applyFont="1" applyBorder="1" applyAlignment="1">
      <alignment horizontal="center" vertical="center"/>
    </xf>
    <xf numFmtId="0" fontId="20" fillId="2" borderId="1" xfId="0" applyFont="1" applyFill="1" applyBorder="1" applyAlignment="1">
      <alignment horizontal="center" wrapText="1"/>
    </xf>
    <xf numFmtId="49" fontId="21" fillId="0" borderId="1" xfId="0" applyNumberFormat="1" applyFont="1" applyBorder="1" applyAlignment="1">
      <alignment horizontal="left" vertical="center" wrapText="1"/>
    </xf>
    <xf numFmtId="9" fontId="25" fillId="3" borderId="1" xfId="0" applyNumberFormat="1" applyFont="1" applyFill="1" applyBorder="1" applyAlignment="1">
      <alignment horizontal="center" vertical="center" wrapText="1"/>
    </xf>
    <xf numFmtId="168" fontId="22" fillId="0" borderId="1" xfId="0" applyNumberFormat="1" applyFont="1" applyBorder="1" applyAlignment="1">
      <alignment horizontal="center" vertical="center" wrapText="1"/>
    </xf>
    <xf numFmtId="3" fontId="25" fillId="3" borderId="1" xfId="0" applyNumberFormat="1" applyFont="1" applyFill="1" applyBorder="1" applyAlignment="1">
      <alignment horizontal="center" vertical="center" wrapText="1"/>
    </xf>
    <xf numFmtId="168" fontId="23" fillId="0" borderId="0" xfId="0" applyNumberFormat="1" applyFont="1" applyAlignment="1">
      <alignment horizontal="center" vertical="center"/>
    </xf>
    <xf numFmtId="0" fontId="0" fillId="12" borderId="0" xfId="0" applyFill="1"/>
    <xf numFmtId="0" fontId="4" fillId="7" borderId="2" xfId="0" applyFont="1" applyFill="1" applyBorder="1"/>
    <xf numFmtId="9" fontId="24" fillId="0" borderId="0" xfId="0" applyNumberFormat="1" applyFont="1" applyAlignment="1">
      <alignment horizontal="center" vertical="center"/>
    </xf>
    <xf numFmtId="3" fontId="24" fillId="0" borderId="0" xfId="0" applyNumberFormat="1" applyFont="1" applyAlignment="1">
      <alignment horizontal="center" vertical="center"/>
    </xf>
    <xf numFmtId="3" fontId="22" fillId="0" borderId="1" xfId="0" applyNumberFormat="1" applyFont="1" applyBorder="1" applyAlignment="1">
      <alignment horizontal="center" vertical="center"/>
    </xf>
    <xf numFmtId="0" fontId="15" fillId="0" borderId="0" xfId="0" applyFont="1"/>
    <xf numFmtId="9" fontId="23" fillId="0" borderId="0" xfId="0" applyNumberFormat="1" applyFont="1" applyAlignment="1">
      <alignment horizontal="center" vertical="center"/>
    </xf>
    <xf numFmtId="0" fontId="4" fillId="8" borderId="2" xfId="0" applyFont="1" applyFill="1" applyBorder="1"/>
    <xf numFmtId="166" fontId="22" fillId="0" borderId="1" xfId="0" applyNumberFormat="1" applyFont="1" applyBorder="1" applyAlignment="1">
      <alignment horizontal="center"/>
    </xf>
    <xf numFmtId="166" fontId="22" fillId="13" borderId="1" xfId="0" applyNumberFormat="1" applyFont="1" applyFill="1" applyBorder="1" applyAlignment="1">
      <alignment horizontal="center"/>
    </xf>
    <xf numFmtId="0" fontId="20" fillId="2" borderId="1" xfId="0" applyFont="1" applyFill="1" applyBorder="1" applyAlignment="1">
      <alignment horizontal="center"/>
    </xf>
    <xf numFmtId="167" fontId="23" fillId="0" borderId="0" xfId="0" applyNumberFormat="1" applyFont="1" applyAlignment="1">
      <alignment horizontal="center" vertical="center"/>
    </xf>
    <xf numFmtId="0" fontId="27" fillId="0" borderId="0" xfId="0" applyFont="1" applyAlignment="1">
      <alignmen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E7A3A"/>
      <rgbColor rgb="FF000080"/>
      <rgbColor rgb="FF808000"/>
      <rgbColor rgb="FF800080"/>
      <rgbColor rgb="FF008080"/>
      <rgbColor rgb="FFFBF1DF"/>
      <rgbColor rgb="FF808080"/>
      <rgbColor rgb="FF9999FF"/>
      <rgbColor rgb="FF993366"/>
      <rgbColor rgb="FFFFF7E0"/>
      <rgbColor rgb="FFE9F5EC"/>
      <rgbColor rgb="FF660066"/>
      <rgbColor rgb="FFFF8080"/>
      <rgbColor rgb="FF1155CC"/>
      <rgbColor rgb="FFD6DBE2"/>
      <rgbColor rgb="FF000080"/>
      <rgbColor rgb="FFFF00FF"/>
      <rgbColor rgb="FFFFFF00"/>
      <rgbColor rgb="FF00FFFF"/>
      <rgbColor rgb="FF800080"/>
      <rgbColor rgb="FF800000"/>
      <rgbColor rgb="FF008080"/>
      <rgbColor rgb="FF0000FF"/>
      <rgbColor rgb="FF00CCFF"/>
      <rgbColor rgb="FFEAF0FB"/>
      <rgbColor rgb="FFE9EDF6"/>
      <rgbColor rgb="FFFFF3B0"/>
      <rgbColor rgb="FFF2F4F7"/>
      <rgbColor rgb="FFFF99CC"/>
      <rgbColor rgb="FFCC99FF"/>
      <rgbColor rgb="FFFFE9A8"/>
      <rgbColor rgb="FF2F6FD0"/>
      <rgbColor rgb="FF33CCCC"/>
      <rgbColor rgb="FF99CC00"/>
      <rgbColor rgb="FFFFCC00"/>
      <rgbColor rgb="FFE8A13D"/>
      <rgbColor rgb="FFFF6600"/>
      <rgbColor rgb="FF5A6472"/>
      <rgbColor rgb="FF9AA3AF"/>
      <rgbColor rgb="FF0F1F4B"/>
      <rgbColor rgb="FF2E9E4F"/>
      <rgbColor rgb="FF003300"/>
      <rgbColor rgb="FF333300"/>
      <rgbColor rgb="FFB3261E"/>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F1F4B"/>
  </sheetPr>
  <dimension ref="B1:H53"/>
  <sheetViews>
    <sheetView showGridLines="0" zoomScaleNormal="100" workbookViewId="0"/>
  </sheetViews>
  <sheetFormatPr baseColWidth="10" defaultColWidth="8.7109375" defaultRowHeight="15" x14ac:dyDescent="0.25"/>
  <cols>
    <col min="1" max="1" width="2.42578125" customWidth="1"/>
    <col min="2" max="2" width="7" customWidth="1"/>
    <col min="3" max="3" width="34" customWidth="1"/>
    <col min="4" max="4" width="58" customWidth="1"/>
    <col min="5" max="8" width="12" customWidth="1"/>
  </cols>
  <sheetData>
    <row r="1" spans="2:8" ht="30" customHeight="1" x14ac:dyDescent="0.25">
      <c r="B1" s="1" t="s">
        <v>0</v>
      </c>
      <c r="C1" s="2"/>
      <c r="D1" s="2"/>
      <c r="E1" s="2"/>
      <c r="F1" s="2"/>
      <c r="G1" s="2"/>
      <c r="H1" s="2"/>
    </row>
    <row r="2" spans="2:8" x14ac:dyDescent="0.25">
      <c r="B2" s="3" t="s">
        <v>1</v>
      </c>
    </row>
    <row r="3" spans="2:8" x14ac:dyDescent="0.25">
      <c r="B3" s="4" t="s">
        <v>2</v>
      </c>
    </row>
    <row r="5" spans="2:8" x14ac:dyDescent="0.25">
      <c r="B5" s="5" t="s">
        <v>3</v>
      </c>
    </row>
    <row r="6" spans="2:8" x14ac:dyDescent="0.25">
      <c r="C6" s="6" t="s">
        <v>4</v>
      </c>
      <c r="D6" s="7" t="s">
        <v>5</v>
      </c>
    </row>
    <row r="7" spans="2:8" x14ac:dyDescent="0.25">
      <c r="C7" s="8" t="s">
        <v>6</v>
      </c>
      <c r="D7" s="7" t="s">
        <v>7</v>
      </c>
    </row>
    <row r="8" spans="2:8" ht="24" customHeight="1" x14ac:dyDescent="0.25">
      <c r="B8" s="9" t="s">
        <v>8</v>
      </c>
    </row>
    <row r="10" spans="2:8" x14ac:dyDescent="0.25">
      <c r="B10" s="10" t="s">
        <v>9</v>
      </c>
      <c r="C10" s="11"/>
      <c r="D10" s="12" t="s">
        <v>10</v>
      </c>
      <c r="E10" s="11"/>
      <c r="F10" s="11"/>
      <c r="G10" s="11"/>
      <c r="H10" s="11"/>
    </row>
    <row r="11" spans="2:8" x14ac:dyDescent="0.25">
      <c r="B11" s="13" t="s">
        <v>11</v>
      </c>
      <c r="C11" s="14" t="s">
        <v>12</v>
      </c>
      <c r="D11" s="15" t="s">
        <v>13</v>
      </c>
    </row>
    <row r="12" spans="2:8" x14ac:dyDescent="0.25">
      <c r="B12" s="16" t="s">
        <v>14</v>
      </c>
      <c r="C12" s="17" t="s">
        <v>15</v>
      </c>
      <c r="D12" s="18" t="s">
        <v>16</v>
      </c>
    </row>
    <row r="13" spans="2:8" x14ac:dyDescent="0.25">
      <c r="B13" s="13" t="s">
        <v>17</v>
      </c>
      <c r="C13" s="14" t="s">
        <v>18</v>
      </c>
      <c r="D13" s="15" t="s">
        <v>19</v>
      </c>
    </row>
    <row r="14" spans="2:8" x14ac:dyDescent="0.25">
      <c r="B14" s="16" t="s">
        <v>20</v>
      </c>
      <c r="C14" s="17" t="s">
        <v>21</v>
      </c>
      <c r="D14" s="18" t="s">
        <v>22</v>
      </c>
    </row>
    <row r="15" spans="2:8" x14ac:dyDescent="0.25">
      <c r="B15" s="13" t="s">
        <v>23</v>
      </c>
      <c r="C15" s="14" t="s">
        <v>24</v>
      </c>
      <c r="D15" s="15" t="s">
        <v>25</v>
      </c>
    </row>
    <row r="17" spans="2:8" x14ac:dyDescent="0.25">
      <c r="B17" s="19" t="s">
        <v>26</v>
      </c>
      <c r="C17" s="20"/>
      <c r="D17" s="21" t="s">
        <v>27</v>
      </c>
      <c r="E17" s="20"/>
      <c r="F17" s="20"/>
      <c r="G17" s="20"/>
      <c r="H17" s="20"/>
    </row>
    <row r="18" spans="2:8" x14ac:dyDescent="0.25">
      <c r="B18" s="22" t="s">
        <v>28</v>
      </c>
      <c r="C18" s="17" t="s">
        <v>29</v>
      </c>
      <c r="D18" s="18" t="s">
        <v>30</v>
      </c>
    </row>
    <row r="19" spans="2:8" x14ac:dyDescent="0.25">
      <c r="B19" s="23" t="s">
        <v>31</v>
      </c>
      <c r="C19" s="14" t="s">
        <v>32</v>
      </c>
      <c r="D19" s="15" t="s">
        <v>33</v>
      </c>
    </row>
    <row r="20" spans="2:8" x14ac:dyDescent="0.25">
      <c r="B20" s="22" t="s">
        <v>34</v>
      </c>
      <c r="C20" s="17" t="s">
        <v>35</v>
      </c>
      <c r="D20" s="18" t="s">
        <v>36</v>
      </c>
    </row>
    <row r="21" spans="2:8" x14ac:dyDescent="0.25">
      <c r="B21" s="23" t="s">
        <v>37</v>
      </c>
      <c r="C21" s="14" t="s">
        <v>38</v>
      </c>
      <c r="D21" s="15" t="s">
        <v>39</v>
      </c>
    </row>
    <row r="22" spans="2:8" x14ac:dyDescent="0.25">
      <c r="B22" s="22" t="s">
        <v>40</v>
      </c>
      <c r="C22" s="17" t="s">
        <v>41</v>
      </c>
      <c r="D22" s="18" t="s">
        <v>42</v>
      </c>
    </row>
    <row r="23" spans="2:8" x14ac:dyDescent="0.25">
      <c r="B23" s="23" t="s">
        <v>43</v>
      </c>
      <c r="C23" s="14" t="s">
        <v>44</v>
      </c>
      <c r="D23" s="15" t="s">
        <v>45</v>
      </c>
    </row>
    <row r="24" spans="2:8" x14ac:dyDescent="0.25">
      <c r="B24" s="22" t="s">
        <v>46</v>
      </c>
      <c r="C24" s="17" t="s">
        <v>47</v>
      </c>
      <c r="D24" s="18" t="s">
        <v>48</v>
      </c>
    </row>
    <row r="25" spans="2:8" x14ac:dyDescent="0.25">
      <c r="B25" s="23" t="s">
        <v>49</v>
      </c>
      <c r="C25" s="14" t="s">
        <v>50</v>
      </c>
      <c r="D25" s="15" t="s">
        <v>51</v>
      </c>
    </row>
    <row r="26" spans="2:8" x14ac:dyDescent="0.25">
      <c r="B26" s="22" t="s">
        <v>52</v>
      </c>
      <c r="C26" s="17" t="s">
        <v>53</v>
      </c>
      <c r="D26" s="18" t="s">
        <v>54</v>
      </c>
    </row>
    <row r="27" spans="2:8" x14ac:dyDescent="0.25">
      <c r="B27" s="23" t="s">
        <v>55</v>
      </c>
      <c r="C27" s="14" t="s">
        <v>56</v>
      </c>
      <c r="D27" s="15" t="s">
        <v>57</v>
      </c>
    </row>
    <row r="28" spans="2:8" x14ac:dyDescent="0.25">
      <c r="B28" s="22" t="s">
        <v>58</v>
      </c>
      <c r="C28" s="17" t="s">
        <v>59</v>
      </c>
      <c r="D28" s="18" t="s">
        <v>60</v>
      </c>
    </row>
    <row r="29" spans="2:8" x14ac:dyDescent="0.25">
      <c r="B29" s="23" t="s">
        <v>61</v>
      </c>
      <c r="C29" s="14" t="s">
        <v>62</v>
      </c>
      <c r="D29" s="15" t="s">
        <v>63</v>
      </c>
    </row>
    <row r="30" spans="2:8" x14ac:dyDescent="0.25">
      <c r="B30" s="22" t="s">
        <v>64</v>
      </c>
      <c r="C30" s="17" t="s">
        <v>65</v>
      </c>
      <c r="D30" s="18" t="s">
        <v>66</v>
      </c>
    </row>
    <row r="31" spans="2:8" x14ac:dyDescent="0.25">
      <c r="B31" s="23" t="s">
        <v>67</v>
      </c>
      <c r="C31" s="14" t="s">
        <v>68</v>
      </c>
      <c r="D31" s="15" t="s">
        <v>69</v>
      </c>
    </row>
    <row r="32" spans="2:8" x14ac:dyDescent="0.25">
      <c r="B32" s="22" t="s">
        <v>70</v>
      </c>
      <c r="C32" s="17" t="s">
        <v>71</v>
      </c>
      <c r="D32" s="18" t="s">
        <v>72</v>
      </c>
    </row>
    <row r="34" spans="2:8" x14ac:dyDescent="0.25">
      <c r="B34" s="24" t="s">
        <v>73</v>
      </c>
      <c r="C34" s="25"/>
      <c r="D34" s="26" t="s">
        <v>74</v>
      </c>
      <c r="E34" s="25"/>
      <c r="F34" s="25"/>
      <c r="G34" s="25"/>
      <c r="H34" s="25"/>
    </row>
    <row r="35" spans="2:8" x14ac:dyDescent="0.25">
      <c r="B35" s="27" t="s">
        <v>75</v>
      </c>
      <c r="C35" s="14" t="s">
        <v>76</v>
      </c>
      <c r="D35" s="15" t="s">
        <v>77</v>
      </c>
    </row>
    <row r="36" spans="2:8" x14ac:dyDescent="0.25">
      <c r="B36" s="28" t="s">
        <v>78</v>
      </c>
      <c r="C36" s="17" t="s">
        <v>79</v>
      </c>
      <c r="D36" s="18" t="s">
        <v>80</v>
      </c>
    </row>
    <row r="37" spans="2:8" x14ac:dyDescent="0.25">
      <c r="B37" s="27" t="s">
        <v>81</v>
      </c>
      <c r="C37" s="14" t="s">
        <v>82</v>
      </c>
      <c r="D37" s="15" t="s">
        <v>83</v>
      </c>
    </row>
    <row r="38" spans="2:8" x14ac:dyDescent="0.25">
      <c r="B38" s="28" t="s">
        <v>84</v>
      </c>
      <c r="C38" s="17" t="s">
        <v>85</v>
      </c>
      <c r="D38" s="18" t="s">
        <v>86</v>
      </c>
    </row>
    <row r="39" spans="2:8" x14ac:dyDescent="0.25">
      <c r="B39" s="27" t="s">
        <v>87</v>
      </c>
      <c r="C39" s="14" t="s">
        <v>88</v>
      </c>
      <c r="D39" s="15" t="s">
        <v>89</v>
      </c>
    </row>
    <row r="40" spans="2:8" x14ac:dyDescent="0.25">
      <c r="B40" s="28" t="s">
        <v>90</v>
      </c>
      <c r="C40" s="17" t="s">
        <v>91</v>
      </c>
      <c r="D40" s="18" t="s">
        <v>92</v>
      </c>
    </row>
    <row r="42" spans="2:8" x14ac:dyDescent="0.25">
      <c r="B42" s="29" t="s">
        <v>93</v>
      </c>
      <c r="C42" s="30"/>
      <c r="D42" s="31" t="s">
        <v>94</v>
      </c>
      <c r="E42" s="30"/>
      <c r="F42" s="30"/>
      <c r="G42" s="30"/>
      <c r="H42" s="30"/>
    </row>
    <row r="43" spans="2:8" x14ac:dyDescent="0.25">
      <c r="B43" s="32" t="s">
        <v>95</v>
      </c>
      <c r="C43" s="14" t="s">
        <v>96</v>
      </c>
      <c r="D43" s="15" t="s">
        <v>97</v>
      </c>
    </row>
    <row r="44" spans="2:8" x14ac:dyDescent="0.25">
      <c r="B44" s="33" t="s">
        <v>98</v>
      </c>
      <c r="C44" s="17" t="s">
        <v>99</v>
      </c>
      <c r="D44" s="18" t="s">
        <v>100</v>
      </c>
    </row>
    <row r="45" spans="2:8" x14ac:dyDescent="0.25">
      <c r="B45" s="32" t="s">
        <v>101</v>
      </c>
      <c r="C45" s="14" t="s">
        <v>102</v>
      </c>
      <c r="D45" s="15" t="s">
        <v>103</v>
      </c>
    </row>
    <row r="46" spans="2:8" x14ac:dyDescent="0.25">
      <c r="B46" s="33" t="s">
        <v>104</v>
      </c>
      <c r="C46" s="17" t="s">
        <v>105</v>
      </c>
      <c r="D46" s="18" t="s">
        <v>106</v>
      </c>
    </row>
    <row r="47" spans="2:8" x14ac:dyDescent="0.25">
      <c r="B47" s="32" t="s">
        <v>107</v>
      </c>
      <c r="C47" s="14" t="s">
        <v>108</v>
      </c>
      <c r="D47" s="15" t="s">
        <v>109</v>
      </c>
    </row>
    <row r="48" spans="2:8" x14ac:dyDescent="0.25">
      <c r="B48" s="33" t="s">
        <v>110</v>
      </c>
      <c r="C48" s="17" t="s">
        <v>111</v>
      </c>
      <c r="D48" s="18" t="s">
        <v>112</v>
      </c>
    </row>
    <row r="49" spans="2:4" x14ac:dyDescent="0.25">
      <c r="B49" s="32" t="s">
        <v>113</v>
      </c>
      <c r="C49" s="14" t="s">
        <v>114</v>
      </c>
      <c r="D49" s="15" t="s">
        <v>115</v>
      </c>
    </row>
    <row r="50" spans="2:4" x14ac:dyDescent="0.25">
      <c r="B50" s="33" t="s">
        <v>116</v>
      </c>
      <c r="C50" s="17" t="s">
        <v>117</v>
      </c>
      <c r="D50" s="18" t="s">
        <v>118</v>
      </c>
    </row>
    <row r="51" spans="2:4" x14ac:dyDescent="0.25">
      <c r="B51" s="32" t="s">
        <v>119</v>
      </c>
      <c r="C51" s="14" t="s">
        <v>120</v>
      </c>
      <c r="D51" s="15" t="s">
        <v>121</v>
      </c>
    </row>
    <row r="53" spans="2:4" ht="36" customHeight="1" x14ac:dyDescent="0.25">
      <c r="B53" s="34" t="s">
        <v>122</v>
      </c>
    </row>
  </sheetData>
  <hyperlinks>
    <hyperlink ref="B11" location="'A1 Cuenta'!A1" display="A1" xr:uid="{00000000-0004-0000-0000-000000000000}"/>
    <hyperlink ref="B12" location="'A2 Piso'!A1" display="A2" xr:uid="{00000000-0004-0000-0000-000001000000}"/>
    <hyperlink ref="B13" location="'A3 Peticiones'!A1" display="A3" xr:uid="{00000000-0004-0000-0000-000002000000}"/>
    <hyperlink ref="B14" location="'A4 Checklist'!A1" display="A4" xr:uid="{00000000-0004-0000-0000-000003000000}"/>
    <hyperlink ref="B15" location="'A5 Cliente nuevo'!A1" display="A5" xr:uid="{00000000-0004-0000-0000-000004000000}"/>
    <hyperlink ref="B18" location="'B1 Descuento'!A1" display="B1" xr:uid="{00000000-0004-0000-0000-000005000000}"/>
    <hyperlink ref="B19" location="'B2 Bonificacion'!A1" display="B2" xr:uid="{00000000-0004-0000-0000-000006000000}"/>
    <hyperlink ref="B20" location="'B3 Rappel'!A1" display="B3" xr:uid="{00000000-0004-0000-0000-000007000000}"/>
    <hyperlink ref="B21" location="'B4 Plazo'!A1" display="B4" xr:uid="{00000000-0004-0000-0000-000008000000}"/>
    <hyperlink ref="B22" location="'B5 Pronto pago'!A1" display="B5" xr:uid="{00000000-0004-0000-0000-000009000000}"/>
    <hyperlink ref="B23" location="'B6 Paquete'!A1" display="B6" xr:uid="{00000000-0004-0000-0000-00000A000000}"/>
    <hyperlink ref="B24" location="'B7 Competencia'!A1" display="B7" xr:uid="{00000000-0004-0000-0000-00000B000000}"/>
    <hyperlink ref="B25" location="'B8 Discounter'!A1" display="B8" xr:uid="{00000000-0004-0000-0000-00000C000000}"/>
    <hyperlink ref="B26" location="'B9 Presion'!A1" display="B9" xr:uid="{00000000-0004-0000-0000-00000D000000}"/>
    <hyperlink ref="B27" location="'B10 Lineas rojas'!A1" display="B10" xr:uid="{00000000-0004-0000-0000-00000E000000}"/>
    <hyperlink ref="B28" location="'B11 Cobranza'!A1" display="B11" xr:uid="{00000000-0004-0000-0000-00000F000000}"/>
    <hyperlink ref="B29" location="'B12 Promocion'!A1" display="B12" xr:uid="{00000000-0004-0000-0000-000010000000}"/>
    <hyperlink ref="B30" location="'B13 Surtido'!A1" display="B13" xr:uid="{00000000-0004-0000-0000-000011000000}"/>
    <hyperlink ref="B31" location="'B14 Reclamos'!A1" display="B14" xr:uid="{00000000-0004-0000-0000-000012000000}"/>
    <hyperlink ref="B32" location="'B15 Metodo'!A1" display="B15" xr:uid="{00000000-0004-0000-0000-000013000000}"/>
    <hyperlink ref="B35" location="'C1 Por escrito'!A1" display="C1" xr:uid="{00000000-0004-0000-0000-000014000000}"/>
    <hyperlink ref="B36" location="'C2 Verificacion'!A1" display="C2" xr:uid="{00000000-0004-0000-0000-000015000000}"/>
    <hyperlink ref="B37" location="'C3 Alarmas'!A1" display="C3" xr:uid="{00000000-0004-0000-0000-000016000000}"/>
    <hyperlink ref="B38" location="'C4 Cartera'!A1" display="C4" xr:uid="{00000000-0004-0000-0000-000017000000}"/>
    <hyperlink ref="B39" location="'C5 Trimestral'!A1" display="C5" xr:uid="{00000000-0004-0000-0000-000018000000}"/>
    <hyperlink ref="B40" location="'C6 Riesgo'!A1" display="C6" xr:uid="{00000000-0004-0000-0000-000019000000}"/>
    <hyperlink ref="B43" location="'D1 Tabla maestra'!A1" display="D1" xr:uid="{00000000-0004-0000-0000-00001A000000}"/>
    <hyperlink ref="B44" location="'D2 Formulas'!A1" display="D2" xr:uid="{00000000-0004-0000-0000-00001B000000}"/>
    <hyperlink ref="B45" location="'D3 Mercado'!A1" display="D3" xr:uid="{00000000-0004-0000-0000-00001C000000}"/>
    <hyperlink ref="B46" location="'D4 Cadena'!A1" display="D4" xr:uid="{00000000-0004-0000-0000-00001D000000}"/>
    <hyperlink ref="B47" location="'D5 Marco'!A1" display="D5" xr:uid="{00000000-0004-0000-0000-00001E000000}"/>
    <hyperlink ref="B48" location="'D6 Impuestos'!A1" display="D6" xr:uid="{00000000-0004-0000-0000-00001F000000}"/>
    <hyperlink ref="B49" location="'D7 Autorizacion'!A1" display="D7" xr:uid="{00000000-0004-0000-0000-000020000000}"/>
    <hyperlink ref="B50" location="'D8 On-trade'!A1" display="D8" xr:uid="{00000000-0004-0000-0000-000021000000}"/>
    <hyperlink ref="B51" location="'D9 ROI'!A1" display="D9" xr:uid="{00000000-0004-0000-0000-000022000000}"/>
  </hyperlink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F6FD0"/>
  </sheetPr>
  <dimension ref="A1:H24"/>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280</v>
      </c>
      <c r="C1" s="2"/>
      <c r="D1" s="2"/>
      <c r="E1" s="2"/>
      <c r="F1" s="2"/>
      <c r="G1" s="2"/>
      <c r="H1" s="2"/>
    </row>
    <row r="2" spans="1:8" x14ac:dyDescent="0.25">
      <c r="B2" s="3" t="s">
        <v>281</v>
      </c>
    </row>
    <row r="3" spans="1:8" x14ac:dyDescent="0.25">
      <c r="B3" s="37" t="s">
        <v>124</v>
      </c>
      <c r="E3" s="38" t="s">
        <v>282</v>
      </c>
    </row>
    <row r="4" spans="1:8" x14ac:dyDescent="0.25">
      <c r="B4" s="39" t="s">
        <v>126</v>
      </c>
    </row>
    <row r="6" spans="1:8" x14ac:dyDescent="0.25">
      <c r="B6" s="41" t="s">
        <v>136</v>
      </c>
      <c r="C6" s="43">
        <v>0.22</v>
      </c>
    </row>
    <row r="8" spans="1:8" x14ac:dyDescent="0.25">
      <c r="B8" s="71" t="s">
        <v>283</v>
      </c>
      <c r="C8" s="20"/>
      <c r="D8" s="20"/>
      <c r="E8" s="20"/>
      <c r="F8" s="20"/>
      <c r="G8" s="20"/>
      <c r="H8" s="20"/>
    </row>
    <row r="9" spans="1:8" ht="24" x14ac:dyDescent="0.25">
      <c r="B9" s="45" t="s">
        <v>284</v>
      </c>
      <c r="C9" s="45" t="s">
        <v>285</v>
      </c>
    </row>
    <row r="10" spans="1:8" x14ac:dyDescent="0.25">
      <c r="B10" s="63">
        <v>30</v>
      </c>
      <c r="C10" s="47">
        <f>1000000*((1+C$6)^(B10/365)-1)</f>
        <v>16478.198455615267</v>
      </c>
    </row>
    <row r="11" spans="1:8" x14ac:dyDescent="0.25">
      <c r="B11" s="63">
        <v>45</v>
      </c>
      <c r="C11" s="47">
        <f>1000000*((1+C$6)^(B11/365)-1)</f>
        <v>24818.843885093589</v>
      </c>
    </row>
    <row r="12" spans="1:8" x14ac:dyDescent="0.25">
      <c r="B12" s="63">
        <v>60</v>
      </c>
      <c r="C12" s="47">
        <f>1000000*((1+C$6)^(B12/365)-1)</f>
        <v>33227.927935573389</v>
      </c>
    </row>
    <row r="13" spans="1:8" x14ac:dyDescent="0.25">
      <c r="B13" s="63">
        <v>90</v>
      </c>
      <c r="C13" s="47">
        <f>1000000*((1+C$6)^(B13/365)-1)</f>
        <v>50253.662781979845</v>
      </c>
    </row>
    <row r="15" spans="1:8" x14ac:dyDescent="0.25">
      <c r="B15" s="71" t="s">
        <v>286</v>
      </c>
      <c r="C15" s="20"/>
      <c r="D15" s="20"/>
      <c r="E15" s="20"/>
      <c r="F15" s="20"/>
      <c r="G15" s="20"/>
      <c r="H15" s="20"/>
    </row>
    <row r="16" spans="1:8" x14ac:dyDescent="0.25">
      <c r="B16" s="41" t="s">
        <v>141</v>
      </c>
      <c r="C16" s="42">
        <v>228000000</v>
      </c>
    </row>
    <row r="17" spans="2:8" x14ac:dyDescent="0.25">
      <c r="B17" s="41" t="s">
        <v>287</v>
      </c>
      <c r="C17" s="6">
        <v>30</v>
      </c>
    </row>
    <row r="18" spans="2:8" x14ac:dyDescent="0.25">
      <c r="B18" s="41" t="s">
        <v>288</v>
      </c>
      <c r="C18" s="6">
        <v>60</v>
      </c>
    </row>
    <row r="19" spans="2:8" x14ac:dyDescent="0.25">
      <c r="B19" s="41" t="s">
        <v>289</v>
      </c>
      <c r="C19" s="64">
        <f>C16*((1+C6)^((C18-C17)/365)-1)</f>
        <v>3757029.2478802809</v>
      </c>
    </row>
    <row r="20" spans="2:8" x14ac:dyDescent="0.25">
      <c r="B20" s="41" t="s">
        <v>290</v>
      </c>
      <c r="C20" s="65">
        <f>C19/C16*100</f>
        <v>1.6478198455615267</v>
      </c>
    </row>
    <row r="22" spans="2:8" ht="30" customHeight="1" x14ac:dyDescent="0.25">
      <c r="B22" s="54" t="s">
        <v>291</v>
      </c>
      <c r="C22" s="55"/>
      <c r="D22" s="55"/>
      <c r="E22" s="55"/>
      <c r="F22" s="55"/>
      <c r="G22" s="55"/>
      <c r="H22" s="55"/>
    </row>
    <row r="24" spans="2:8" ht="30" customHeight="1" x14ac:dyDescent="0.25">
      <c r="B24" s="9" t="s">
        <v>292</v>
      </c>
    </row>
  </sheetData>
  <hyperlinks>
    <hyperlink ref="B3" location="'Indice'!A1" display="◀ Volver al índice" xr:uid="{00000000-0004-0000-0900-000000000000}"/>
  </hyperlinks>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F6FD0"/>
  </sheetPr>
  <dimension ref="A1:H22"/>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293</v>
      </c>
      <c r="C1" s="2"/>
      <c r="D1" s="2"/>
      <c r="E1" s="2"/>
      <c r="F1" s="2"/>
      <c r="G1" s="2"/>
      <c r="H1" s="2"/>
    </row>
    <row r="2" spans="1:8" x14ac:dyDescent="0.25">
      <c r="B2" s="3" t="s">
        <v>294</v>
      </c>
    </row>
    <row r="3" spans="1:8" x14ac:dyDescent="0.25">
      <c r="B3" s="37" t="s">
        <v>124</v>
      </c>
      <c r="E3" s="38" t="s">
        <v>295</v>
      </c>
    </row>
    <row r="4" spans="1:8" x14ac:dyDescent="0.25">
      <c r="B4" s="39" t="s">
        <v>126</v>
      </c>
    </row>
    <row r="6" spans="1:8" x14ac:dyDescent="0.25">
      <c r="B6" s="41" t="s">
        <v>296</v>
      </c>
      <c r="C6" s="43">
        <v>0.02</v>
      </c>
    </row>
    <row r="7" spans="1:8" x14ac:dyDescent="0.25">
      <c r="B7" s="41" t="s">
        <v>297</v>
      </c>
      <c r="C7" s="6">
        <v>30</v>
      </c>
    </row>
    <row r="8" spans="1:8" ht="38.25" x14ac:dyDescent="0.25">
      <c r="B8" s="41" t="s">
        <v>298</v>
      </c>
      <c r="C8" s="43">
        <v>0.22</v>
      </c>
    </row>
    <row r="10" spans="1:8" x14ac:dyDescent="0.25">
      <c r="B10" s="71" t="s">
        <v>299</v>
      </c>
      <c r="C10" s="20"/>
      <c r="D10" s="20"/>
      <c r="E10" s="20"/>
      <c r="F10" s="20"/>
      <c r="G10" s="20"/>
      <c r="H10" s="20"/>
    </row>
    <row r="11" spans="1:8" x14ac:dyDescent="0.25">
      <c r="B11" s="41" t="s">
        <v>300</v>
      </c>
      <c r="C11" s="74">
        <f>C6/(1-C6)</f>
        <v>2.0408163265306124E-2</v>
      </c>
    </row>
    <row r="12" spans="1:8" x14ac:dyDescent="0.25">
      <c r="B12" s="41" t="s">
        <v>301</v>
      </c>
      <c r="C12" s="53">
        <f>(1+C6/(1-C6))^(365/C7)-1</f>
        <v>0.27864331502966566</v>
      </c>
    </row>
    <row r="14" spans="1:8" ht="30" customHeight="1" x14ac:dyDescent="0.25">
      <c r="B14" s="54" t="str">
        <f>IF(C12&lt;=C8,"CONVIENE: cuesta menos que el fondeo — acéptelo y regístrelo.","NO CONVIENE: cuesta más que la deuda que pretende evitar. Contraoferte menos descuento o más días.")</f>
        <v>NO CONVIENE: cuesta más que la deuda que pretende evitar. Contraoferte menos descuento o más días.</v>
      </c>
      <c r="C14" s="55"/>
      <c r="D14" s="55"/>
      <c r="E14" s="55"/>
      <c r="F14" s="55"/>
      <c r="G14" s="55"/>
      <c r="H14" s="55"/>
    </row>
    <row r="16" spans="1:8" ht="24" x14ac:dyDescent="0.25">
      <c r="B16" s="45" t="s">
        <v>302</v>
      </c>
      <c r="C16" s="45" t="s">
        <v>303</v>
      </c>
      <c r="D16" s="45" t="s">
        <v>300</v>
      </c>
      <c r="E16" s="45" t="s">
        <v>304</v>
      </c>
      <c r="F16" s="45" t="s">
        <v>305</v>
      </c>
    </row>
    <row r="17" spans="2:6" x14ac:dyDescent="0.25">
      <c r="B17" s="56">
        <v>0.01</v>
      </c>
      <c r="C17" s="63">
        <v>30</v>
      </c>
      <c r="D17" s="60">
        <f>B17/(1-B17)</f>
        <v>1.0101010101010102E-2</v>
      </c>
      <c r="E17" s="60">
        <f>(1+B17/(1-B17))^(365/C17)-1</f>
        <v>0.13006944458127245</v>
      </c>
      <c r="F17" s="75" t="str">
        <f>IF((1+B17/(1-B17))^(365/C17)-1&lt;=C$8,"Sí","No")</f>
        <v>Sí</v>
      </c>
    </row>
    <row r="18" spans="2:6" x14ac:dyDescent="0.25">
      <c r="B18" s="56">
        <v>0.01</v>
      </c>
      <c r="C18" s="63">
        <v>15</v>
      </c>
      <c r="D18" s="60">
        <f>B18/(1-B18)</f>
        <v>1.0101010101010102E-2</v>
      </c>
      <c r="E18" s="60">
        <f>(1+B18/(1-B18))^(365/C18)-1</f>
        <v>0.27705694957622562</v>
      </c>
      <c r="F18" s="75" t="str">
        <f>IF((1+B18/(1-B18))^(365/C18)-1&lt;=C$8,"Sí","No")</f>
        <v>No</v>
      </c>
    </row>
    <row r="19" spans="2:6" x14ac:dyDescent="0.25">
      <c r="B19" s="56">
        <v>0.02</v>
      </c>
      <c r="C19" s="63">
        <v>30</v>
      </c>
      <c r="D19" s="60">
        <f>B19/(1-B19)</f>
        <v>2.0408163265306124E-2</v>
      </c>
      <c r="E19" s="60">
        <f>(1+B19/(1-B19))^(365/C19)-1</f>
        <v>0.27864331502966566</v>
      </c>
      <c r="F19" s="75" t="str">
        <f>IF((1+B19/(1-B19))^(365/C19)-1&lt;=C$8,"Sí","No")</f>
        <v>No</v>
      </c>
    </row>
    <row r="20" spans="2:6" x14ac:dyDescent="0.25">
      <c r="B20" s="56">
        <v>0.03</v>
      </c>
      <c r="C20" s="63">
        <v>45</v>
      </c>
      <c r="D20" s="60">
        <f>B20/(1-B20)</f>
        <v>3.0927835051546393E-2</v>
      </c>
      <c r="E20" s="60">
        <f>(1+B20/(1-B20))^(365/C20)-1</f>
        <v>0.28025338614325257</v>
      </c>
      <c r="F20" s="75" t="str">
        <f>IF((1+B20/(1-B20))^(365/C20)-1&lt;=C$8,"Sí","No")</f>
        <v>No</v>
      </c>
    </row>
    <row r="22" spans="2:6" ht="39.75" customHeight="1" x14ac:dyDescent="0.25">
      <c r="B22" s="9" t="s">
        <v>306</v>
      </c>
    </row>
  </sheetData>
  <hyperlinks>
    <hyperlink ref="B3" location="'Indice'!A1" display="◀ Volver al índice" xr:uid="{00000000-0004-0000-0A00-000000000000}"/>
  </hyperlinks>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F6FD0"/>
  </sheetPr>
  <dimension ref="A1:H23"/>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307</v>
      </c>
      <c r="C1" s="2"/>
      <c r="D1" s="2"/>
      <c r="E1" s="2"/>
      <c r="F1" s="2"/>
      <c r="G1" s="2"/>
      <c r="H1" s="2"/>
    </row>
    <row r="2" spans="1:8" x14ac:dyDescent="0.25">
      <c r="B2" s="3" t="s">
        <v>308</v>
      </c>
    </row>
    <row r="3" spans="1:8" x14ac:dyDescent="0.25">
      <c r="B3" s="37" t="s">
        <v>124</v>
      </c>
      <c r="E3" s="38" t="s">
        <v>309</v>
      </c>
    </row>
    <row r="4" spans="1:8" x14ac:dyDescent="0.25">
      <c r="B4" s="39" t="s">
        <v>126</v>
      </c>
    </row>
    <row r="6" spans="1:8" x14ac:dyDescent="0.25">
      <c r="B6" s="41" t="s">
        <v>141</v>
      </c>
      <c r="C6" s="42">
        <v>228000000</v>
      </c>
    </row>
    <row r="7" spans="1:8" x14ac:dyDescent="0.25">
      <c r="B7" s="41" t="s">
        <v>130</v>
      </c>
      <c r="C7" s="43">
        <v>0.25</v>
      </c>
    </row>
    <row r="8" spans="1:8" x14ac:dyDescent="0.25">
      <c r="B8" s="41" t="s">
        <v>136</v>
      </c>
      <c r="C8" s="43">
        <v>0.22</v>
      </c>
    </row>
    <row r="9" spans="1:8" x14ac:dyDescent="0.25">
      <c r="B9" s="41" t="s">
        <v>310</v>
      </c>
      <c r="C9" s="61">
        <v>6</v>
      </c>
    </row>
    <row r="11" spans="1:8" x14ac:dyDescent="0.25">
      <c r="B11" s="71" t="s">
        <v>311</v>
      </c>
      <c r="C11" s="20"/>
      <c r="D11" s="20"/>
      <c r="E11" s="20"/>
      <c r="F11" s="20"/>
      <c r="G11" s="20"/>
      <c r="H11" s="20"/>
    </row>
    <row r="12" spans="1:8" x14ac:dyDescent="0.25">
      <c r="B12" s="45" t="s">
        <v>312</v>
      </c>
      <c r="C12" s="45" t="s">
        <v>181</v>
      </c>
      <c r="D12" s="45" t="s">
        <v>182</v>
      </c>
      <c r="E12" s="45" t="s">
        <v>183</v>
      </c>
    </row>
    <row r="13" spans="1:8" x14ac:dyDescent="0.25">
      <c r="B13" s="46" t="s">
        <v>184</v>
      </c>
      <c r="C13" s="56">
        <v>0.04</v>
      </c>
      <c r="D13" s="47">
        <f>C$6*C13</f>
        <v>9120000</v>
      </c>
      <c r="E13" s="62">
        <f>C13*100</f>
        <v>4</v>
      </c>
    </row>
    <row r="14" spans="1:8" x14ac:dyDescent="0.25">
      <c r="B14" s="48" t="s">
        <v>313</v>
      </c>
      <c r="C14" s="56">
        <v>0.02</v>
      </c>
      <c r="D14" s="47">
        <f>C$6*C14</f>
        <v>4560000</v>
      </c>
      <c r="E14" s="62">
        <f>C14*100</f>
        <v>2</v>
      </c>
    </row>
    <row r="15" spans="1:8" x14ac:dyDescent="0.25">
      <c r="B15" s="46" t="s">
        <v>188</v>
      </c>
      <c r="C15" s="59">
        <v>2000000</v>
      </c>
      <c r="D15" s="47">
        <f>C15</f>
        <v>2000000</v>
      </c>
      <c r="E15" s="62">
        <f>C15/C$6*100</f>
        <v>0.8771929824561403</v>
      </c>
    </row>
    <row r="16" spans="1:8" x14ac:dyDescent="0.25">
      <c r="B16" s="48" t="s">
        <v>314</v>
      </c>
      <c r="C16" s="63">
        <v>30</v>
      </c>
      <c r="D16" s="47">
        <f>C$6*((1+C$8)^(C16/365)-1)</f>
        <v>3757029.2478802809</v>
      </c>
      <c r="E16" s="62">
        <f>D16/C$6*100</f>
        <v>1.6478198455615267</v>
      </c>
    </row>
    <row r="17" spans="2:8" x14ac:dyDescent="0.25">
      <c r="B17" s="46" t="s">
        <v>186</v>
      </c>
      <c r="C17" s="63">
        <v>24</v>
      </c>
      <c r="D17" s="47">
        <f>C$6/C17</f>
        <v>9500000</v>
      </c>
      <c r="E17" s="62">
        <f>100/C17</f>
        <v>4.166666666666667</v>
      </c>
    </row>
    <row r="18" spans="2:8" x14ac:dyDescent="0.25">
      <c r="B18" s="49" t="s">
        <v>189</v>
      </c>
      <c r="D18" s="64">
        <f>SUM(D13:D17)</f>
        <v>28937029.24788028</v>
      </c>
      <c r="E18" s="65">
        <f>SUM(E13:E17)</f>
        <v>12.691679494684333</v>
      </c>
    </row>
    <row r="19" spans="2:8" x14ac:dyDescent="0.25">
      <c r="B19" s="41" t="s">
        <v>315</v>
      </c>
      <c r="E19" s="66">
        <f>C7*100-E18</f>
        <v>12.308320505315667</v>
      </c>
    </row>
    <row r="21" spans="2:8" ht="30" customHeight="1" x14ac:dyDescent="0.25">
      <c r="B21" s="54" t="str">
        <f>IF(E18&gt;C9,"SUPERA el presupuesto ("&amp;TEXT(E18,"0,0")&amp;" pts contra "&amp;TEXT(C9,"0")&amp;"). QUÉ SE DICE: —Le respondo el paquete completo el jueves. Hoy no doy una respuesta parcial que después tengamos que deshacer—.","Dentro del presupuesto: aún así, nada se concede sin contrapartida verificable por escrito (C1).")</f>
        <v>SUPERA el presupuesto (12,7 pts contra 6). QUÉ SE DICE: —Le respondo el paquete completo el jueves. Hoy no doy una respuesta parcial que después tengamos que deshacer—.</v>
      </c>
      <c r="C21" s="55"/>
      <c r="D21" s="55"/>
      <c r="E21" s="55"/>
      <c r="F21" s="55"/>
      <c r="G21" s="55"/>
      <c r="H21" s="55"/>
    </row>
    <row r="23" spans="2:8" ht="30" customHeight="1" x14ac:dyDescent="0.25">
      <c r="B23" s="9" t="s">
        <v>316</v>
      </c>
    </row>
  </sheetData>
  <hyperlinks>
    <hyperlink ref="B3" location="'Indice'!A1" display="◀ Volver al índice" xr:uid="{00000000-0004-0000-0B00-000000000000}"/>
  </hyperlinks>
  <pageMargins left="0.75" right="0.75" top="1" bottom="1"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2F6FD0"/>
  </sheetPr>
  <dimension ref="A1:H28"/>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317</v>
      </c>
      <c r="C1" s="2"/>
      <c r="D1" s="2"/>
      <c r="E1" s="2"/>
      <c r="F1" s="2"/>
      <c r="G1" s="2"/>
      <c r="H1" s="2"/>
    </row>
    <row r="2" spans="1:8" x14ac:dyDescent="0.25">
      <c r="B2" s="3" t="s">
        <v>318</v>
      </c>
    </row>
    <row r="3" spans="1:8" x14ac:dyDescent="0.25">
      <c r="B3" s="37" t="s">
        <v>124</v>
      </c>
      <c r="E3" s="38" t="s">
        <v>319</v>
      </c>
    </row>
    <row r="4" spans="1:8" x14ac:dyDescent="0.25">
      <c r="B4" s="39" t="s">
        <v>126</v>
      </c>
    </row>
    <row r="6" spans="1:8" x14ac:dyDescent="0.25">
      <c r="B6" s="41" t="s">
        <v>320</v>
      </c>
      <c r="C6" s="42">
        <v>38000</v>
      </c>
    </row>
    <row r="7" spans="1:8" x14ac:dyDescent="0.25">
      <c r="B7" s="41" t="s">
        <v>321</v>
      </c>
      <c r="C7" s="42">
        <v>36500</v>
      </c>
    </row>
    <row r="8" spans="1:8" x14ac:dyDescent="0.25">
      <c r="B8" s="41" t="s">
        <v>322</v>
      </c>
      <c r="C8" s="6">
        <v>30</v>
      </c>
    </row>
    <row r="9" spans="1:8" x14ac:dyDescent="0.25">
      <c r="B9" s="41" t="s">
        <v>323</v>
      </c>
      <c r="C9" s="6">
        <v>60</v>
      </c>
    </row>
    <row r="10" spans="1:8" x14ac:dyDescent="0.25">
      <c r="B10" s="41" t="s">
        <v>130</v>
      </c>
      <c r="C10" s="43">
        <v>0.25</v>
      </c>
    </row>
    <row r="11" spans="1:8" x14ac:dyDescent="0.25">
      <c r="B11" s="41" t="s">
        <v>136</v>
      </c>
      <c r="C11" s="43">
        <v>0.22</v>
      </c>
    </row>
    <row r="13" spans="1:8" x14ac:dyDescent="0.25">
      <c r="B13" s="71" t="s">
        <v>324</v>
      </c>
      <c r="C13" s="20"/>
      <c r="D13" s="20"/>
      <c r="E13" s="20"/>
      <c r="F13" s="20"/>
      <c r="G13" s="20"/>
      <c r="H13" s="20"/>
    </row>
    <row r="14" spans="1:8" x14ac:dyDescent="0.25">
      <c r="B14" s="41" t="s">
        <v>325</v>
      </c>
      <c r="C14" s="74">
        <f>(C6-C7)/C6</f>
        <v>3.9473684210526314E-2</v>
      </c>
    </row>
    <row r="15" spans="1:8" x14ac:dyDescent="0.25">
      <c r="B15" s="41" t="s">
        <v>326</v>
      </c>
      <c r="C15" s="52">
        <f>C7*(1+((1+C11)^((C9-C8)/365)-1))</f>
        <v>37101.45424362996</v>
      </c>
    </row>
    <row r="16" spans="1:8" x14ac:dyDescent="0.25">
      <c r="B16" s="41" t="s">
        <v>327</v>
      </c>
      <c r="C16" s="53">
        <f>(C6-C15)/C6</f>
        <v>2.3645940957106322E-2</v>
      </c>
    </row>
    <row r="17" spans="2:8" x14ac:dyDescent="0.25">
      <c r="B17" s="41" t="s">
        <v>328</v>
      </c>
      <c r="C17" s="72">
        <f>IF(C16&lt;=0,"No hay brecha",IF(C16&gt;=C10,"—",C16/(C10-C16)))</f>
        <v>0.10446439996300423</v>
      </c>
    </row>
    <row r="19" spans="2:8" x14ac:dyDescent="0.25">
      <c r="B19" s="71" t="s">
        <v>329</v>
      </c>
      <c r="C19" s="20"/>
      <c r="D19" s="20"/>
      <c r="E19" s="20"/>
      <c r="F19" s="20"/>
      <c r="G19" s="20"/>
      <c r="H19" s="20"/>
    </row>
    <row r="20" spans="2:8" x14ac:dyDescent="0.25">
      <c r="B20" s="41" t="s">
        <v>330</v>
      </c>
      <c r="F20" s="67"/>
    </row>
    <row r="21" spans="2:8" x14ac:dyDescent="0.25">
      <c r="B21" s="41" t="s">
        <v>331</v>
      </c>
      <c r="F21" s="67"/>
    </row>
    <row r="22" spans="2:8" x14ac:dyDescent="0.25">
      <c r="B22" s="41" t="s">
        <v>332</v>
      </c>
      <c r="F22" s="67"/>
    </row>
    <row r="23" spans="2:8" x14ac:dyDescent="0.25">
      <c r="B23" s="41" t="s">
        <v>333</v>
      </c>
      <c r="F23" s="67"/>
    </row>
    <row r="24" spans="2:8" x14ac:dyDescent="0.25">
      <c r="B24" s="41" t="s">
        <v>334</v>
      </c>
      <c r="F24" s="67"/>
    </row>
    <row r="26" spans="2:8" ht="30" customHeight="1" x14ac:dyDescent="0.25">
      <c r="B26" s="54" t="str">
        <f>IF(COUNTA(F20:F24)&lt;5,"NO iguale todavía: faltan "&amp;(5-COUNTA(F20:F24))&amp;" verificaciones. QUÉ SE DICE: —Si la oferta es comparable, tráigala y la miramos línea por línea—.","Comparable verificado: aun así, mire el volumen que exige igualar antes de mover un peso.")</f>
        <v>NO iguale todavía: faltan 5 verificaciones. QUÉ SE DICE: —Si la oferta es comparable, tráigala y la miramos línea por línea—.</v>
      </c>
      <c r="C26" s="55"/>
      <c r="D26" s="55"/>
      <c r="E26" s="55"/>
      <c r="F26" s="55"/>
      <c r="G26" s="55"/>
      <c r="H26" s="55"/>
    </row>
    <row r="28" spans="2:8" ht="30" customHeight="1" x14ac:dyDescent="0.25">
      <c r="B28" s="9" t="s">
        <v>335</v>
      </c>
    </row>
  </sheetData>
  <dataValidations count="1">
    <dataValidation type="list" allowBlank="1" sqref="F20:F24" xr:uid="{00000000-0002-0000-0C00-000000000000}">
      <formula1>"✓"</formula1>
      <formula2>0</formula2>
    </dataValidation>
  </dataValidations>
  <hyperlinks>
    <hyperlink ref="B3" location="'Indice'!A1" display="◀ Volver al índice" xr:uid="{00000000-0004-0000-0C00-000000000000}"/>
  </hyperlinks>
  <pageMargins left="0.75" right="0.75" top="1" bottom="1"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2F6FD0"/>
  </sheetPr>
  <dimension ref="A1:H21"/>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336</v>
      </c>
      <c r="C1" s="2"/>
      <c r="D1" s="2"/>
      <c r="E1" s="2"/>
      <c r="F1" s="2"/>
      <c r="G1" s="2"/>
      <c r="H1" s="2"/>
    </row>
    <row r="2" spans="1:8" x14ac:dyDescent="0.25">
      <c r="B2" s="3" t="s">
        <v>337</v>
      </c>
    </row>
    <row r="3" spans="1:8" x14ac:dyDescent="0.25">
      <c r="B3" s="37" t="s">
        <v>124</v>
      </c>
      <c r="E3" s="38" t="s">
        <v>338</v>
      </c>
    </row>
    <row r="4" spans="1:8" x14ac:dyDescent="0.25">
      <c r="B4" s="39" t="s">
        <v>126</v>
      </c>
    </row>
    <row r="6" spans="1:8" x14ac:dyDescent="0.25">
      <c r="B6" s="41" t="s">
        <v>339</v>
      </c>
      <c r="C6" s="42">
        <v>29000</v>
      </c>
    </row>
    <row r="7" spans="1:8" x14ac:dyDescent="0.25">
      <c r="B7" s="41" t="s">
        <v>340</v>
      </c>
      <c r="C7" s="42">
        <v>38000</v>
      </c>
    </row>
    <row r="8" spans="1:8" x14ac:dyDescent="0.25">
      <c r="B8" s="41" t="s">
        <v>341</v>
      </c>
      <c r="C8" s="43">
        <v>0.2</v>
      </c>
    </row>
    <row r="9" spans="1:8" x14ac:dyDescent="0.25">
      <c r="B9" s="41" t="s">
        <v>342</v>
      </c>
      <c r="C9" s="43">
        <v>0.25</v>
      </c>
    </row>
    <row r="11" spans="1:8" x14ac:dyDescent="0.25">
      <c r="B11" s="71" t="s">
        <v>343</v>
      </c>
      <c r="C11" s="20"/>
      <c r="D11" s="20"/>
      <c r="E11" s="20"/>
      <c r="F11" s="20"/>
      <c r="G11" s="20"/>
      <c r="H11" s="20"/>
    </row>
    <row r="12" spans="1:8" ht="25.5" x14ac:dyDescent="0.25">
      <c r="B12" s="41" t="s">
        <v>344</v>
      </c>
      <c r="C12" s="52">
        <f>C6*(1-C8)</f>
        <v>23200</v>
      </c>
    </row>
    <row r="13" spans="1:8" x14ac:dyDescent="0.25">
      <c r="B13" s="41" t="s">
        <v>345</v>
      </c>
      <c r="C13" s="53">
        <f>(C7-C12)/C7</f>
        <v>0.38947368421052631</v>
      </c>
    </row>
    <row r="15" spans="1:8" ht="30" customHeight="1" x14ac:dyDescent="0.25">
      <c r="B15" s="54" t="str">
        <f>IF(C13&gt;=C9,"IMPOSIBLE: exigiría un descuento que iguala o supera el margen. Esa guerra no se gana con precio — se pierde dos veces: el margen ahora y el cliente cuando el discounter vuelva a bajar.","Aun siendo viable en la fórmula: verifique primero que sea el MISMO producto (B7).")</f>
        <v>IMPOSIBLE: exigiría un descuento que iguala o supera el margen. Esa guerra no se gana con precio — se pierde dos veces: el margen ahora y el cliente cuando el discounter vuelva a bajar.</v>
      </c>
      <c r="C15" s="55"/>
      <c r="D15" s="55"/>
      <c r="E15" s="55"/>
      <c r="F15" s="55"/>
      <c r="G15" s="55"/>
      <c r="H15" s="55"/>
    </row>
    <row r="17" spans="2:3" ht="24" x14ac:dyDescent="0.25">
      <c r="B17" s="45" t="s">
        <v>346</v>
      </c>
      <c r="C17" s="45" t="s">
        <v>347</v>
      </c>
    </row>
    <row r="18" spans="2:3" ht="127.5" x14ac:dyDescent="0.25">
      <c r="B18" s="46" t="s">
        <v>348</v>
      </c>
      <c r="C18" s="46" t="s">
        <v>349</v>
      </c>
    </row>
    <row r="19" spans="2:3" ht="102" x14ac:dyDescent="0.25">
      <c r="B19" s="48" t="s">
        <v>350</v>
      </c>
      <c r="C19" s="48" t="s">
        <v>351</v>
      </c>
    </row>
    <row r="21" spans="2:3" ht="25.5" customHeight="1" x14ac:dyDescent="0.25">
      <c r="B21" s="9" t="s">
        <v>352</v>
      </c>
    </row>
  </sheetData>
  <hyperlinks>
    <hyperlink ref="B3" location="'Indice'!A1" display="◀ Volver al índice" xr:uid="{00000000-0004-0000-0D00-000000000000}"/>
  </hyperlinks>
  <pageMargins left="0.75" right="0.75" top="1" bottom="1"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2F6FD0"/>
  </sheetPr>
  <dimension ref="A1:H21"/>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353</v>
      </c>
      <c r="C1" s="2"/>
      <c r="D1" s="2"/>
      <c r="E1" s="2"/>
      <c r="F1" s="2"/>
      <c r="G1" s="2"/>
      <c r="H1" s="2"/>
    </row>
    <row r="2" spans="1:8" x14ac:dyDescent="0.25">
      <c r="B2" s="3" t="s">
        <v>354</v>
      </c>
    </row>
    <row r="3" spans="1:8" x14ac:dyDescent="0.25">
      <c r="B3" s="37" t="s">
        <v>124</v>
      </c>
      <c r="E3" s="38" t="s">
        <v>355</v>
      </c>
    </row>
    <row r="4" spans="1:8" x14ac:dyDescent="0.25">
      <c r="B4" s="39" t="s">
        <v>126</v>
      </c>
    </row>
    <row r="6" spans="1:8" x14ac:dyDescent="0.25">
      <c r="B6" s="71" t="s">
        <v>356</v>
      </c>
      <c r="C6" s="20"/>
      <c r="D6" s="20"/>
      <c r="E6" s="20"/>
      <c r="F6" s="20"/>
      <c r="G6" s="20"/>
      <c r="H6" s="20"/>
    </row>
    <row r="7" spans="1:8" ht="25.5" x14ac:dyDescent="0.25">
      <c r="B7" s="41" t="s">
        <v>357</v>
      </c>
      <c r="C7" s="61">
        <v>1</v>
      </c>
    </row>
    <row r="8" spans="1:8" x14ac:dyDescent="0.25">
      <c r="B8" s="41" t="s">
        <v>177</v>
      </c>
      <c r="C8" s="42">
        <v>228000000</v>
      </c>
    </row>
    <row r="9" spans="1:8" x14ac:dyDescent="0.25">
      <c r="B9" s="41" t="s">
        <v>358</v>
      </c>
      <c r="C9" s="64">
        <f>C7/100*C8*12</f>
        <v>27360000</v>
      </c>
    </row>
    <row r="11" spans="1:8" ht="30" customHeight="1" x14ac:dyDescent="0.25">
      <c r="B11" s="54" t="s">
        <v>359</v>
      </c>
      <c r="C11" s="55"/>
      <c r="D11" s="55"/>
      <c r="E11" s="55"/>
      <c r="F11" s="55"/>
      <c r="G11" s="55"/>
      <c r="H11" s="55"/>
    </row>
    <row r="13" spans="1:8" x14ac:dyDescent="0.25">
      <c r="B13" s="45" t="s">
        <v>360</v>
      </c>
      <c r="C13" s="45" t="s">
        <v>361</v>
      </c>
      <c r="D13" s="45" t="s">
        <v>362</v>
      </c>
    </row>
    <row r="14" spans="1:8" ht="51" x14ac:dyDescent="0.25">
      <c r="B14" s="46" t="s">
        <v>363</v>
      </c>
      <c r="C14" s="46" t="s">
        <v>364</v>
      </c>
      <c r="D14" s="46" t="s">
        <v>365</v>
      </c>
    </row>
    <row r="15" spans="1:8" ht="38.25" x14ac:dyDescent="0.25">
      <c r="B15" s="48" t="s">
        <v>366</v>
      </c>
      <c r="C15" s="48" t="s">
        <v>367</v>
      </c>
      <c r="D15" s="48" t="s">
        <v>368</v>
      </c>
    </row>
    <row r="16" spans="1:8" ht="63.75" x14ac:dyDescent="0.25">
      <c r="B16" s="46" t="s">
        <v>369</v>
      </c>
      <c r="C16" s="46" t="s">
        <v>370</v>
      </c>
      <c r="D16" s="46" t="s">
        <v>371</v>
      </c>
    </row>
    <row r="17" spans="2:4" ht="76.5" x14ac:dyDescent="0.25">
      <c r="B17" s="48" t="s">
        <v>372</v>
      </c>
      <c r="C17" s="48" t="s">
        <v>373</v>
      </c>
      <c r="D17" s="48" t="s">
        <v>374</v>
      </c>
    </row>
    <row r="18" spans="2:4" ht="76.5" x14ac:dyDescent="0.25">
      <c r="B18" s="46" t="s">
        <v>375</v>
      </c>
      <c r="C18" s="46" t="s">
        <v>376</v>
      </c>
      <c r="D18" s="46" t="s">
        <v>377</v>
      </c>
    </row>
    <row r="19" spans="2:4" ht="89.25" x14ac:dyDescent="0.25">
      <c r="B19" s="48" t="s">
        <v>378</v>
      </c>
      <c r="C19" s="48" t="s">
        <v>379</v>
      </c>
      <c r="D19" s="48" t="s">
        <v>380</v>
      </c>
    </row>
    <row r="21" spans="2:4" ht="25.5" customHeight="1" x14ac:dyDescent="0.25">
      <c r="B21" s="9" t="s">
        <v>381</v>
      </c>
    </row>
  </sheetData>
  <hyperlinks>
    <hyperlink ref="B3" location="'Indice'!A1" display="◀ Volver al índice" xr:uid="{00000000-0004-0000-0E00-000000000000}"/>
  </hyperlinks>
  <pageMargins left="0.75" right="0.75" top="1" bottom="1"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2F6FD0"/>
  </sheetPr>
  <dimension ref="A1:H26"/>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382</v>
      </c>
      <c r="C1" s="2"/>
      <c r="D1" s="2"/>
      <c r="E1" s="2"/>
      <c r="F1" s="2"/>
      <c r="G1" s="2"/>
      <c r="H1" s="2"/>
    </row>
    <row r="2" spans="1:8" x14ac:dyDescent="0.25">
      <c r="B2" s="3" t="s">
        <v>383</v>
      </c>
    </row>
    <row r="3" spans="1:8" x14ac:dyDescent="0.25">
      <c r="B3" s="37" t="s">
        <v>124</v>
      </c>
      <c r="E3" s="38" t="s">
        <v>384</v>
      </c>
    </row>
    <row r="4" spans="1:8" x14ac:dyDescent="0.25">
      <c r="B4" s="39" t="s">
        <v>126</v>
      </c>
    </row>
    <row r="6" spans="1:8" x14ac:dyDescent="0.25">
      <c r="B6" s="71" t="s">
        <v>385</v>
      </c>
      <c r="C6" s="20"/>
      <c r="D6" s="20"/>
      <c r="E6" s="20"/>
      <c r="F6" s="20"/>
      <c r="G6" s="20"/>
      <c r="H6" s="20"/>
    </row>
    <row r="7" spans="1:8" ht="16.5" customHeight="1" x14ac:dyDescent="0.25">
      <c r="B7" s="76" t="s">
        <v>386</v>
      </c>
    </row>
    <row r="8" spans="1:8" ht="16.5" customHeight="1" x14ac:dyDescent="0.25">
      <c r="B8" s="76" t="s">
        <v>387</v>
      </c>
    </row>
    <row r="9" spans="1:8" ht="16.5" customHeight="1" x14ac:dyDescent="0.25">
      <c r="B9" s="76" t="s">
        <v>388</v>
      </c>
    </row>
    <row r="10" spans="1:8" ht="16.5" customHeight="1" x14ac:dyDescent="0.25">
      <c r="B10" s="76" t="s">
        <v>389</v>
      </c>
    </row>
    <row r="11" spans="1:8" ht="16.5" customHeight="1" x14ac:dyDescent="0.25">
      <c r="B11" s="76" t="s">
        <v>390</v>
      </c>
    </row>
    <row r="12" spans="1:8" ht="16.5" customHeight="1" x14ac:dyDescent="0.25">
      <c r="B12" s="76" t="s">
        <v>391</v>
      </c>
    </row>
    <row r="13" spans="1:8" ht="16.5" customHeight="1" x14ac:dyDescent="0.25">
      <c r="B13" s="76" t="s">
        <v>392</v>
      </c>
    </row>
    <row r="14" spans="1:8" ht="16.5" customHeight="1" x14ac:dyDescent="0.25">
      <c r="B14" s="76" t="s">
        <v>393</v>
      </c>
    </row>
    <row r="16" spans="1:8" x14ac:dyDescent="0.25">
      <c r="B16" s="71" t="s">
        <v>394</v>
      </c>
      <c r="C16" s="20"/>
      <c r="D16" s="20"/>
      <c r="E16" s="20"/>
      <c r="F16" s="20"/>
      <c r="G16" s="20"/>
      <c r="H16" s="20"/>
    </row>
    <row r="17" spans="2:8" x14ac:dyDescent="0.25">
      <c r="B17" s="41" t="s">
        <v>395</v>
      </c>
      <c r="C17" s="6">
        <v>24</v>
      </c>
    </row>
    <row r="18" spans="2:8" ht="25.5" x14ac:dyDescent="0.25">
      <c r="B18" s="41" t="s">
        <v>396</v>
      </c>
      <c r="C18" s="42">
        <v>15000</v>
      </c>
    </row>
    <row r="19" spans="2:8" x14ac:dyDescent="0.25">
      <c r="B19" s="41" t="s">
        <v>397</v>
      </c>
      <c r="C19" s="42">
        <v>24000</v>
      </c>
    </row>
    <row r="20" spans="2:8" x14ac:dyDescent="0.25">
      <c r="B20" s="41" t="s">
        <v>398</v>
      </c>
      <c r="C20" s="52">
        <f>C17*325</f>
        <v>7800</v>
      </c>
    </row>
    <row r="21" spans="2:8" ht="25.5" x14ac:dyDescent="0.25">
      <c r="B21" s="41" t="s">
        <v>399</v>
      </c>
      <c r="C21" s="52">
        <f>0.3*C19</f>
        <v>7200</v>
      </c>
    </row>
    <row r="22" spans="2:8" x14ac:dyDescent="0.25">
      <c r="B22" s="41" t="s">
        <v>400</v>
      </c>
      <c r="C22" s="64">
        <f>C20+C21</f>
        <v>15000</v>
      </c>
    </row>
    <row r="24" spans="2:8" ht="30" customHeight="1" x14ac:dyDescent="0.25">
      <c r="B24" s="54" t="str">
        <f>IF(C18&lt;=C22,"ALERTA MÁXIMA: ese precio no cubre ni los impuestos de un producto legal. No compre, no transporte, documente y escale.","No concluyente: exija origen documentado igual — la carga tributaria es solo el piso de lo legal.")</f>
        <v>ALERTA MÁXIMA: ese precio no cubre ni los impuestos de un producto legal. No compre, no transporte, documente y escale.</v>
      </c>
      <c r="C24" s="55"/>
      <c r="D24" s="55"/>
      <c r="E24" s="55"/>
      <c r="F24" s="55"/>
      <c r="G24" s="55"/>
      <c r="H24" s="55"/>
    </row>
    <row r="26" spans="2:8" ht="30" customHeight="1" x14ac:dyDescent="0.25">
      <c r="B26" s="9" t="s">
        <v>401</v>
      </c>
    </row>
  </sheetData>
  <hyperlinks>
    <hyperlink ref="B3" location="'Indice'!A1" display="◀ Volver al índice" xr:uid="{00000000-0004-0000-0F00-000000000000}"/>
  </hyperlinks>
  <pageMargins left="0.75" right="0.75" top="1" bottom="1"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2F6FD0"/>
  </sheetPr>
  <dimension ref="A1:H23"/>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402</v>
      </c>
      <c r="C1" s="2"/>
      <c r="D1" s="2"/>
      <c r="E1" s="2"/>
      <c r="F1" s="2"/>
      <c r="G1" s="2"/>
      <c r="H1" s="2"/>
    </row>
    <row r="2" spans="1:8" x14ac:dyDescent="0.25">
      <c r="B2" s="3" t="s">
        <v>403</v>
      </c>
    </row>
    <row r="3" spans="1:8" x14ac:dyDescent="0.25">
      <c r="B3" s="37" t="s">
        <v>124</v>
      </c>
      <c r="E3" s="38" t="s">
        <v>404</v>
      </c>
    </row>
    <row r="4" spans="1:8" x14ac:dyDescent="0.25">
      <c r="B4" s="39" t="s">
        <v>126</v>
      </c>
    </row>
    <row r="6" spans="1:8" x14ac:dyDescent="0.25">
      <c r="B6" s="41" t="s">
        <v>405</v>
      </c>
      <c r="C6" s="42">
        <v>50000000</v>
      </c>
    </row>
    <row r="7" spans="1:8" x14ac:dyDescent="0.25">
      <c r="B7" s="41" t="s">
        <v>406</v>
      </c>
      <c r="C7" s="6">
        <v>60</v>
      </c>
    </row>
    <row r="8" spans="1:8" x14ac:dyDescent="0.25">
      <c r="B8" s="41" t="s">
        <v>136</v>
      </c>
      <c r="C8" s="43">
        <v>0.22</v>
      </c>
    </row>
    <row r="9" spans="1:8" x14ac:dyDescent="0.25">
      <c r="B9" s="41" t="s">
        <v>407</v>
      </c>
      <c r="C9" s="43">
        <v>0.25</v>
      </c>
    </row>
    <row r="11" spans="1:8" x14ac:dyDescent="0.25">
      <c r="B11" s="71" t="s">
        <v>408</v>
      </c>
      <c r="C11" s="20"/>
      <c r="D11" s="20"/>
      <c r="E11" s="20"/>
      <c r="F11" s="20"/>
      <c r="G11" s="20"/>
      <c r="H11" s="20"/>
    </row>
    <row r="12" spans="1:8" x14ac:dyDescent="0.25">
      <c r="B12" s="41" t="s">
        <v>409</v>
      </c>
      <c r="C12" s="64">
        <f>C6*((1+C8)^(C7/365)-1)</f>
        <v>1661396.3967786694</v>
      </c>
    </row>
    <row r="13" spans="1:8" x14ac:dyDescent="0.25">
      <c r="B13" s="41" t="s">
        <v>410</v>
      </c>
      <c r="C13" s="52">
        <f>C6*C9</f>
        <v>12500000</v>
      </c>
    </row>
    <row r="14" spans="1:8" x14ac:dyDescent="0.25">
      <c r="B14" s="41" t="s">
        <v>411</v>
      </c>
      <c r="C14" s="53">
        <f>C12/C13</f>
        <v>0.13291171174229355</v>
      </c>
    </row>
    <row r="16" spans="1:8" ht="24" x14ac:dyDescent="0.25">
      <c r="B16" s="45" t="s">
        <v>406</v>
      </c>
      <c r="C16" s="45" t="s">
        <v>412</v>
      </c>
      <c r="D16" s="45" t="s">
        <v>413</v>
      </c>
    </row>
    <row r="17" spans="2:8" x14ac:dyDescent="0.25">
      <c r="B17" s="63">
        <v>30</v>
      </c>
      <c r="C17" s="47">
        <f>C$6*((1+C$8)^(B17/365)-1)</f>
        <v>823909.92278076336</v>
      </c>
      <c r="D17" s="60">
        <f>C17/(C$6*C$9)</f>
        <v>6.5912793822461069E-2</v>
      </c>
    </row>
    <row r="18" spans="2:8" x14ac:dyDescent="0.25">
      <c r="B18" s="63">
        <v>60</v>
      </c>
      <c r="C18" s="47">
        <f>C$6*((1+C$8)^(B18/365)-1)</f>
        <v>1661396.3967786694</v>
      </c>
      <c r="D18" s="60">
        <f>C18/(C$6*C$9)</f>
        <v>0.13291171174229355</v>
      </c>
    </row>
    <row r="19" spans="2:8" x14ac:dyDescent="0.25">
      <c r="B19" s="63">
        <v>90</v>
      </c>
      <c r="C19" s="47">
        <f>C$6*((1+C$8)^(B19/365)-1)</f>
        <v>2512683.1390989921</v>
      </c>
      <c r="D19" s="60">
        <f>C19/(C$6*C$9)</f>
        <v>0.20101465112791936</v>
      </c>
    </row>
    <row r="21" spans="2:8" ht="30" customHeight="1" x14ac:dyDescent="0.25">
      <c r="B21" s="54" t="s">
        <v>414</v>
      </c>
      <c r="C21" s="55"/>
      <c r="D21" s="55"/>
      <c r="E21" s="55"/>
      <c r="F21" s="55"/>
      <c r="G21" s="55"/>
      <c r="H21" s="55"/>
    </row>
    <row r="23" spans="2:8" ht="30" customHeight="1" x14ac:dyDescent="0.25">
      <c r="B23" s="9" t="s">
        <v>415</v>
      </c>
    </row>
  </sheetData>
  <hyperlinks>
    <hyperlink ref="B3" location="'Indice'!A1" display="◀ Volver al índice" xr:uid="{00000000-0004-0000-1000-000000000000}"/>
  </hyperlinks>
  <pageMargins left="0.75" right="0.75" top="1" bottom="1"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2F6FD0"/>
  </sheetPr>
  <dimension ref="A1:H24"/>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416</v>
      </c>
      <c r="C1" s="2"/>
      <c r="D1" s="2"/>
      <c r="E1" s="2"/>
      <c r="F1" s="2"/>
      <c r="G1" s="2"/>
      <c r="H1" s="2"/>
    </row>
    <row r="2" spans="1:8" x14ac:dyDescent="0.25">
      <c r="B2" s="3" t="s">
        <v>417</v>
      </c>
    </row>
    <row r="3" spans="1:8" x14ac:dyDescent="0.25">
      <c r="B3" s="37" t="s">
        <v>124</v>
      </c>
      <c r="E3" s="38" t="s">
        <v>418</v>
      </c>
    </row>
    <row r="4" spans="1:8" x14ac:dyDescent="0.25">
      <c r="B4" s="39" t="s">
        <v>126</v>
      </c>
    </row>
    <row r="6" spans="1:8" x14ac:dyDescent="0.25">
      <c r="B6" s="41" t="s">
        <v>419</v>
      </c>
      <c r="C6" s="6">
        <v>500</v>
      </c>
    </row>
    <row r="7" spans="1:8" x14ac:dyDescent="0.25">
      <c r="B7" s="41" t="s">
        <v>420</v>
      </c>
      <c r="C7" s="42">
        <v>114000</v>
      </c>
    </row>
    <row r="8" spans="1:8" x14ac:dyDescent="0.25">
      <c r="B8" s="41" t="s">
        <v>421</v>
      </c>
      <c r="C8" s="43">
        <v>0.1</v>
      </c>
    </row>
    <row r="9" spans="1:8" x14ac:dyDescent="0.25">
      <c r="B9" s="41" t="s">
        <v>129</v>
      </c>
      <c r="C9" s="42">
        <v>456000</v>
      </c>
    </row>
    <row r="10" spans="1:8" x14ac:dyDescent="0.25">
      <c r="B10" s="41" t="s">
        <v>422</v>
      </c>
      <c r="C10" s="6">
        <v>700</v>
      </c>
    </row>
    <row r="11" spans="1:8" x14ac:dyDescent="0.25">
      <c r="B11" s="41" t="s">
        <v>423</v>
      </c>
      <c r="C11" s="6">
        <v>350</v>
      </c>
    </row>
    <row r="13" spans="1:8" x14ac:dyDescent="0.25">
      <c r="B13" s="71" t="s">
        <v>424</v>
      </c>
      <c r="C13" s="20"/>
      <c r="D13" s="20"/>
      <c r="E13" s="20"/>
      <c r="F13" s="20"/>
      <c r="G13" s="20"/>
      <c r="H13" s="20"/>
    </row>
    <row r="14" spans="1:8" x14ac:dyDescent="0.25">
      <c r="B14" s="41" t="s">
        <v>425</v>
      </c>
      <c r="C14" s="52">
        <f>C7-C9*C8</f>
        <v>68400</v>
      </c>
    </row>
    <row r="15" spans="1:8" x14ac:dyDescent="0.25">
      <c r="B15" s="41" t="s">
        <v>426</v>
      </c>
      <c r="C15" s="52">
        <f>C10*C14</f>
        <v>47880000</v>
      </c>
    </row>
    <row r="16" spans="1:8" x14ac:dyDescent="0.25">
      <c r="B16" s="41" t="s">
        <v>427</v>
      </c>
      <c r="C16" s="52">
        <f>C11*C7</f>
        <v>39900000</v>
      </c>
    </row>
    <row r="17" spans="2:8" x14ac:dyDescent="0.25">
      <c r="B17" s="41" t="s">
        <v>428</v>
      </c>
      <c r="C17" s="52">
        <f>C15+C16</f>
        <v>87780000</v>
      </c>
    </row>
    <row r="18" spans="2:8" x14ac:dyDescent="0.25">
      <c r="B18" s="41" t="s">
        <v>429</v>
      </c>
      <c r="C18" s="52">
        <f>2*C6*C7</f>
        <v>114000000</v>
      </c>
    </row>
    <row r="19" spans="2:8" x14ac:dyDescent="0.25">
      <c r="B19" s="41" t="s">
        <v>430</v>
      </c>
      <c r="C19" s="64">
        <f>C17-C18</f>
        <v>-26220000</v>
      </c>
    </row>
    <row r="20" spans="2:8" x14ac:dyDescent="0.25">
      <c r="B20" s="41" t="s">
        <v>431</v>
      </c>
      <c r="C20" s="73">
        <f>(C10+C11)/(2*C6)-1</f>
        <v>5.0000000000000044E-2</v>
      </c>
    </row>
    <row r="22" spans="2:8" ht="30" customHeight="1" x14ac:dyDescent="0.25">
      <c r="B22" s="54" t="str">
        <f>IF(C19&lt;0,"La promoción DESTRUYE contribución: no genera venta nueva — adelanta la que ya iba a ocurrir y el mes siguiente queda cargado.","Genera contribución: verifique que el volumen extra sea venta nueva y no adelantada, y que no se vuelva costumbre.")</f>
        <v>La promoción DESTRUYE contribución: no genera venta nueva — adelanta la que ya iba a ocurrir y el mes siguiente queda cargado.</v>
      </c>
      <c r="C22" s="55"/>
      <c r="D22" s="55"/>
      <c r="E22" s="55"/>
      <c r="F22" s="55"/>
      <c r="G22" s="55"/>
      <c r="H22" s="55"/>
    </row>
    <row r="24" spans="2:8" ht="42" customHeight="1" x14ac:dyDescent="0.25">
      <c r="B24" s="9" t="s">
        <v>432</v>
      </c>
    </row>
  </sheetData>
  <hyperlinks>
    <hyperlink ref="B3" location="'Indice'!A1" display="◀ Volver al índice" xr:uid="{00000000-0004-0000-1100-000000000000}"/>
  </hyperlinks>
  <pageMargins left="0.75" right="0.75" top="1" bottom="1"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2F6FD0"/>
  </sheetPr>
  <dimension ref="A1:H20"/>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433</v>
      </c>
      <c r="C1" s="2"/>
      <c r="D1" s="2"/>
      <c r="E1" s="2"/>
      <c r="F1" s="2"/>
      <c r="G1" s="2"/>
      <c r="H1" s="2"/>
    </row>
    <row r="2" spans="1:8" x14ac:dyDescent="0.25">
      <c r="B2" s="3" t="s">
        <v>434</v>
      </c>
    </row>
    <row r="3" spans="1:8" x14ac:dyDescent="0.25">
      <c r="B3" s="37" t="s">
        <v>124</v>
      </c>
      <c r="E3" s="38" t="s">
        <v>435</v>
      </c>
    </row>
    <row r="4" spans="1:8" x14ac:dyDescent="0.25">
      <c r="B4" s="39" t="s">
        <v>126</v>
      </c>
    </row>
    <row r="6" spans="1:8" x14ac:dyDescent="0.25">
      <c r="B6" s="41" t="s">
        <v>436</v>
      </c>
      <c r="C6" s="42">
        <v>3000000</v>
      </c>
    </row>
    <row r="7" spans="1:8" x14ac:dyDescent="0.25">
      <c r="B7" s="41" t="s">
        <v>437</v>
      </c>
      <c r="C7" s="42">
        <v>114000</v>
      </c>
    </row>
    <row r="8" spans="1:8" x14ac:dyDescent="0.25">
      <c r="B8" s="41" t="s">
        <v>438</v>
      </c>
      <c r="C8" s="6">
        <v>20</v>
      </c>
    </row>
    <row r="10" spans="1:8" x14ac:dyDescent="0.25">
      <c r="B10" s="71" t="s">
        <v>439</v>
      </c>
      <c r="C10" s="20"/>
      <c r="D10" s="20"/>
      <c r="E10" s="20"/>
      <c r="F10" s="20"/>
      <c r="G10" s="20"/>
      <c r="H10" s="20"/>
    </row>
    <row r="11" spans="1:8" x14ac:dyDescent="0.25">
      <c r="B11" s="41" t="s">
        <v>440</v>
      </c>
      <c r="C11" s="69">
        <f>C6/(C7*C8)</f>
        <v>1.3157894736842106</v>
      </c>
    </row>
    <row r="13" spans="1:8" ht="30" customHeight="1" x14ac:dyDescent="0.25">
      <c r="B13" s="54" t="str">
        <f>IF(C11&lt;=3,"Viable: el fee se paga dentro del tope de tres meses — ciérrelo con rotación verificable (C2).","NO: tarda más de tres meses — ese SKU no tiene rotación suficiente para ese espacio. Proponga otra referencia u otra contrapartida.")</f>
        <v>Viable: el fee se paga dentro del tope de tres meses — ciérrelo con rotación verificable (C2).</v>
      </c>
      <c r="C13" s="55"/>
      <c r="D13" s="55"/>
      <c r="E13" s="55"/>
      <c r="F13" s="55"/>
      <c r="G13" s="55"/>
      <c r="H13" s="55"/>
    </row>
    <row r="15" spans="1:8" ht="24" x14ac:dyDescent="0.25">
      <c r="B15" s="45" t="s">
        <v>441</v>
      </c>
      <c r="C15" s="45" t="s">
        <v>442</v>
      </c>
    </row>
    <row r="16" spans="1:8" x14ac:dyDescent="0.25">
      <c r="B16" s="63">
        <v>20</v>
      </c>
      <c r="C16" s="77">
        <f>C$6/(C$7*B16)</f>
        <v>1.3157894736842106</v>
      </c>
    </row>
    <row r="17" spans="2:3" x14ac:dyDescent="0.25">
      <c r="B17" s="63">
        <v>10</v>
      </c>
      <c r="C17" s="77">
        <f>C$6/(C$7*B17)</f>
        <v>2.6315789473684212</v>
      </c>
    </row>
    <row r="18" spans="2:3" x14ac:dyDescent="0.25">
      <c r="B18" s="63">
        <v>5</v>
      </c>
      <c r="C18" s="77">
        <f>C$6/(C$7*B18)</f>
        <v>5.2631578947368425</v>
      </c>
    </row>
    <row r="20" spans="2:3" ht="25.5" customHeight="1" x14ac:dyDescent="0.25">
      <c r="B20" s="9" t="s">
        <v>443</v>
      </c>
    </row>
  </sheetData>
  <hyperlinks>
    <hyperlink ref="B3" location="'Indice'!A1" display="◀ Volver al índice" xr:uid="{00000000-0004-0000-1200-000000000000}"/>
  </hyperlink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9E4F"/>
  </sheetPr>
  <dimension ref="A1:H32"/>
  <sheetViews>
    <sheetView showGridLines="0" topLeftCell="A26" zoomScale="193" zoomScaleNormal="100" workbookViewId="0">
      <selection activeCell="C43" sqref="C43"/>
    </sheetView>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35"/>
      <c r="B1" s="36" t="s">
        <v>123</v>
      </c>
      <c r="C1" s="2"/>
      <c r="D1" s="2"/>
      <c r="E1" s="2"/>
      <c r="F1" s="2"/>
      <c r="G1" s="2"/>
      <c r="H1" s="2"/>
    </row>
    <row r="2" spans="1:8" x14ac:dyDescent="0.25">
      <c r="B2" s="3" t="s">
        <v>13</v>
      </c>
    </row>
    <row r="3" spans="1:8" x14ac:dyDescent="0.25">
      <c r="B3" s="37" t="s">
        <v>124</v>
      </c>
      <c r="E3" s="38" t="s">
        <v>125</v>
      </c>
    </row>
    <row r="4" spans="1:8" x14ac:dyDescent="0.25">
      <c r="B4" s="39" t="s">
        <v>126</v>
      </c>
    </row>
    <row r="6" spans="1:8" x14ac:dyDescent="0.25">
      <c r="B6" s="40" t="s">
        <v>127</v>
      </c>
      <c r="C6" s="11"/>
      <c r="D6" s="11"/>
      <c r="E6" s="11"/>
      <c r="F6" s="11"/>
      <c r="G6" s="11"/>
      <c r="H6" s="11"/>
    </row>
    <row r="7" spans="1:8" x14ac:dyDescent="0.25">
      <c r="B7" s="41" t="s">
        <v>128</v>
      </c>
      <c r="C7" s="6">
        <v>500</v>
      </c>
    </row>
    <row r="8" spans="1:8" x14ac:dyDescent="0.25">
      <c r="B8" s="41" t="s">
        <v>129</v>
      </c>
      <c r="C8" s="42">
        <v>456000</v>
      </c>
    </row>
    <row r="9" spans="1:8" x14ac:dyDescent="0.25">
      <c r="B9" s="41" t="s">
        <v>130</v>
      </c>
      <c r="C9" s="43">
        <v>0.25</v>
      </c>
    </row>
    <row r="10" spans="1:8" x14ac:dyDescent="0.25">
      <c r="B10" s="41" t="s">
        <v>131</v>
      </c>
      <c r="C10" s="43">
        <v>0.03</v>
      </c>
    </row>
    <row r="11" spans="1:8" x14ac:dyDescent="0.25">
      <c r="B11" s="41" t="s">
        <v>132</v>
      </c>
      <c r="C11" s="42">
        <v>2000000</v>
      </c>
    </row>
    <row r="12" spans="1:8" x14ac:dyDescent="0.25">
      <c r="B12" s="41" t="s">
        <v>133</v>
      </c>
      <c r="C12" s="44">
        <v>1.4999999999999999E-2</v>
      </c>
    </row>
    <row r="13" spans="1:8" x14ac:dyDescent="0.25">
      <c r="B13" s="41" t="s">
        <v>134</v>
      </c>
      <c r="C13" s="42">
        <v>1500000</v>
      </c>
    </row>
    <row r="14" spans="1:8" x14ac:dyDescent="0.25">
      <c r="B14" s="41" t="s">
        <v>135</v>
      </c>
      <c r="C14" s="6">
        <v>60</v>
      </c>
    </row>
    <row r="15" spans="1:8" x14ac:dyDescent="0.25">
      <c r="B15" s="41" t="s">
        <v>136</v>
      </c>
      <c r="C15" s="43">
        <v>0.22</v>
      </c>
    </row>
    <row r="17" spans="2:8" x14ac:dyDescent="0.25">
      <c r="B17" s="40" t="s">
        <v>137</v>
      </c>
      <c r="C17" s="11"/>
      <c r="D17" s="11"/>
      <c r="E17" s="11"/>
      <c r="F17" s="11"/>
      <c r="G17" s="11"/>
      <c r="H17" s="11"/>
    </row>
    <row r="18" spans="2:8" x14ac:dyDescent="0.25">
      <c r="B18" s="45" t="s">
        <v>138</v>
      </c>
      <c r="C18" s="45" t="s">
        <v>139</v>
      </c>
      <c r="D18" s="45" t="s">
        <v>140</v>
      </c>
    </row>
    <row r="19" spans="2:8" x14ac:dyDescent="0.25">
      <c r="B19" s="46" t="s">
        <v>141</v>
      </c>
      <c r="C19" s="47">
        <f>C7*C8</f>
        <v>228000000</v>
      </c>
      <c r="D19" s="46"/>
    </row>
    <row r="20" spans="2:8" x14ac:dyDescent="0.25">
      <c r="B20" s="48" t="s">
        <v>142</v>
      </c>
      <c r="C20" s="47">
        <f>C7*C8*C9</f>
        <v>57000000</v>
      </c>
      <c r="D20" s="47">
        <f>C7*C8*C9</f>
        <v>57000000</v>
      </c>
    </row>
    <row r="21" spans="2:8" x14ac:dyDescent="0.25">
      <c r="B21" s="46" t="s">
        <v>143</v>
      </c>
      <c r="C21" s="47">
        <f>C7*C8*C10</f>
        <v>6840000</v>
      </c>
      <c r="D21" s="47">
        <f>D20-C21</f>
        <v>50160000</v>
      </c>
    </row>
    <row r="22" spans="2:8" x14ac:dyDescent="0.25">
      <c r="B22" s="48" t="s">
        <v>144</v>
      </c>
      <c r="C22" s="47">
        <f>C11</f>
        <v>2000000</v>
      </c>
      <c r="D22" s="47">
        <f>D21-C22</f>
        <v>48160000</v>
      </c>
    </row>
    <row r="23" spans="2:8" x14ac:dyDescent="0.25">
      <c r="B23" s="46" t="s">
        <v>145</v>
      </c>
      <c r="C23" s="47">
        <f>C7*C8*C12</f>
        <v>3420000</v>
      </c>
      <c r="D23" s="47">
        <f>D22-C23</f>
        <v>44740000</v>
      </c>
    </row>
    <row r="24" spans="2:8" x14ac:dyDescent="0.25">
      <c r="B24" s="48" t="s">
        <v>146</v>
      </c>
      <c r="C24" s="47">
        <f>C13</f>
        <v>1500000</v>
      </c>
      <c r="D24" s="47">
        <f>D23-C24</f>
        <v>43240000</v>
      </c>
    </row>
    <row r="25" spans="2:8" x14ac:dyDescent="0.25">
      <c r="B25" s="46" t="s">
        <v>147</v>
      </c>
      <c r="C25" s="47">
        <f>C7*C8*((1+C15)^(C14/365)-1)</f>
        <v>7575967.5693107322</v>
      </c>
      <c r="D25" s="47">
        <f>D24-C25</f>
        <v>35664032.430689268</v>
      </c>
    </row>
    <row r="26" spans="2:8" x14ac:dyDescent="0.25">
      <c r="B26" s="49" t="s">
        <v>148</v>
      </c>
      <c r="C26" s="50">
        <f>D25</f>
        <v>35664032.430689268</v>
      </c>
      <c r="D26" s="51">
        <f>D25/(C7*C8)</f>
        <v>0.15642119487144415</v>
      </c>
    </row>
    <row r="27" spans="2:8" x14ac:dyDescent="0.25">
      <c r="B27" s="41" t="s">
        <v>149</v>
      </c>
      <c r="C27" s="52">
        <f>D25/C7</f>
        <v>71328.064861378531</v>
      </c>
    </row>
    <row r="28" spans="2:8" ht="25.5" x14ac:dyDescent="0.25">
      <c r="B28" s="41" t="s">
        <v>150</v>
      </c>
      <c r="C28" s="53">
        <f>(D25-0.02*C7*C8)/(C7*C8)</f>
        <v>0.13642119487144416</v>
      </c>
    </row>
    <row r="30" spans="2:8" ht="30" customHeight="1" x14ac:dyDescent="0.25">
      <c r="B30" s="54" t="s">
        <v>151</v>
      </c>
      <c r="C30" s="55"/>
      <c r="D30" s="55"/>
      <c r="E30" s="55"/>
      <c r="F30" s="55"/>
      <c r="G30" s="55"/>
      <c r="H30" s="55"/>
    </row>
    <row r="32" spans="2:8" ht="27.75" customHeight="1" x14ac:dyDescent="0.25">
      <c r="B32" s="9" t="s">
        <v>152</v>
      </c>
    </row>
  </sheetData>
  <hyperlinks>
    <hyperlink ref="B3" location="'Indice'!A1" display="◀ Volver al índice" xr:uid="{00000000-0004-0000-0100-000000000000}"/>
  </hyperlinks>
  <pageMargins left="0.75" right="0.75" top="1" bottom="1" header="0.511811023622047" footer="0.511811023622047"/>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2F6FD0"/>
  </sheetPr>
  <dimension ref="A1:H19"/>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444</v>
      </c>
      <c r="C1" s="2"/>
      <c r="D1" s="2"/>
      <c r="E1" s="2"/>
      <c r="F1" s="2"/>
      <c r="G1" s="2"/>
      <c r="H1" s="2"/>
    </row>
    <row r="2" spans="1:8" x14ac:dyDescent="0.25">
      <c r="B2" s="3" t="s">
        <v>445</v>
      </c>
    </row>
    <row r="3" spans="1:8" x14ac:dyDescent="0.25">
      <c r="B3" s="37" t="s">
        <v>124</v>
      </c>
      <c r="E3" s="38" t="s">
        <v>446</v>
      </c>
    </row>
    <row r="4" spans="1:8" x14ac:dyDescent="0.25">
      <c r="B4" s="39" t="s">
        <v>126</v>
      </c>
    </row>
    <row r="6" spans="1:8" x14ac:dyDescent="0.25">
      <c r="B6" s="41" t="s">
        <v>447</v>
      </c>
      <c r="C6" s="42">
        <v>1000000</v>
      </c>
    </row>
    <row r="7" spans="1:8" x14ac:dyDescent="0.25">
      <c r="B7" s="41" t="s">
        <v>130</v>
      </c>
      <c r="C7" s="43">
        <v>0.25</v>
      </c>
    </row>
    <row r="8" spans="1:8" x14ac:dyDescent="0.25">
      <c r="B8" s="41" t="s">
        <v>448</v>
      </c>
      <c r="C8" s="67" t="s">
        <v>449</v>
      </c>
    </row>
    <row r="9" spans="1:8" x14ac:dyDescent="0.25">
      <c r="B9" s="41" t="s">
        <v>450</v>
      </c>
      <c r="C9" s="42">
        <v>50000</v>
      </c>
    </row>
    <row r="11" spans="1:8" x14ac:dyDescent="0.25">
      <c r="B11" s="71" t="s">
        <v>451</v>
      </c>
      <c r="C11" s="20"/>
      <c r="D11" s="20"/>
      <c r="E11" s="20"/>
      <c r="F11" s="20"/>
      <c r="G11" s="20"/>
      <c r="H11" s="20"/>
    </row>
    <row r="12" spans="1:8" x14ac:dyDescent="0.25">
      <c r="B12" s="41" t="s">
        <v>452</v>
      </c>
      <c r="C12" s="52">
        <f>IF(C8="Sí",0,C6*C7)</f>
        <v>250000</v>
      </c>
    </row>
    <row r="13" spans="1:8" x14ac:dyDescent="0.25">
      <c r="B13" s="41" t="s">
        <v>453</v>
      </c>
      <c r="C13" s="52">
        <f>IF(C8="Sí",0,C6*(1-C7))</f>
        <v>750000</v>
      </c>
    </row>
    <row r="14" spans="1:8" x14ac:dyDescent="0.25">
      <c r="B14" s="41" t="s">
        <v>454</v>
      </c>
      <c r="C14" s="64">
        <f>IF(C8="Sí",C9,C6+C9)</f>
        <v>1050000</v>
      </c>
    </row>
    <row r="15" spans="1:8" x14ac:dyDescent="0.25">
      <c r="B15" s="41" t="s">
        <v>455</v>
      </c>
      <c r="C15" s="64">
        <f>C14/C7</f>
        <v>4200000</v>
      </c>
    </row>
    <row r="17" spans="2:8" ht="30" customHeight="1" x14ac:dyDescent="0.25">
      <c r="B17" s="54" t="s">
        <v>456</v>
      </c>
      <c r="C17" s="55"/>
      <c r="D17" s="55"/>
      <c r="E17" s="55"/>
      <c r="F17" s="55"/>
      <c r="G17" s="55"/>
      <c r="H17" s="55"/>
    </row>
    <row r="19" spans="2:8" ht="30" customHeight="1" x14ac:dyDescent="0.25">
      <c r="B19" s="9" t="s">
        <v>457</v>
      </c>
    </row>
  </sheetData>
  <dataValidations count="1">
    <dataValidation type="list" allowBlank="1" sqref="C8" xr:uid="{00000000-0002-0000-1300-000000000000}">
      <formula1>"Sí,No"</formula1>
      <formula2>0</formula2>
    </dataValidation>
  </dataValidations>
  <hyperlinks>
    <hyperlink ref="B3" location="'Indice'!A1" display="◀ Volver al índice" xr:uid="{00000000-0004-0000-1300-000000000000}"/>
  </hyperlinks>
  <pageMargins left="0.75" right="0.75" top="1" bottom="1" header="0.511811023622047" footer="0.511811023622047"/>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2F6FD0"/>
  </sheetPr>
  <dimension ref="A1:H32"/>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458</v>
      </c>
      <c r="C1" s="2"/>
      <c r="D1" s="2"/>
      <c r="E1" s="2"/>
      <c r="F1" s="2"/>
      <c r="G1" s="2"/>
      <c r="H1" s="2"/>
    </row>
    <row r="2" spans="1:8" x14ac:dyDescent="0.25">
      <c r="B2" s="3" t="s">
        <v>459</v>
      </c>
    </row>
    <row r="3" spans="1:8" x14ac:dyDescent="0.25">
      <c r="B3" s="37" t="s">
        <v>124</v>
      </c>
      <c r="E3" s="38" t="s">
        <v>460</v>
      </c>
    </row>
    <row r="4" spans="1:8" x14ac:dyDescent="0.25">
      <c r="B4" s="39" t="s">
        <v>126</v>
      </c>
    </row>
    <row r="6" spans="1:8" x14ac:dyDescent="0.25">
      <c r="B6" s="41" t="s">
        <v>177</v>
      </c>
      <c r="C6" s="42">
        <v>228000000</v>
      </c>
    </row>
    <row r="7" spans="1:8" x14ac:dyDescent="0.25">
      <c r="B7" s="41" t="s">
        <v>130</v>
      </c>
      <c r="C7" s="43">
        <v>0.25</v>
      </c>
    </row>
    <row r="8" spans="1:8" x14ac:dyDescent="0.25">
      <c r="B8" s="41" t="s">
        <v>310</v>
      </c>
      <c r="C8" s="61">
        <v>6</v>
      </c>
    </row>
    <row r="9" spans="1:8" x14ac:dyDescent="0.25">
      <c r="B9" s="41" t="s">
        <v>136</v>
      </c>
      <c r="C9" s="43">
        <v>0.22</v>
      </c>
    </row>
    <row r="11" spans="1:8" x14ac:dyDescent="0.25">
      <c r="B11" s="71" t="s">
        <v>461</v>
      </c>
      <c r="C11" s="20"/>
      <c r="D11" s="20"/>
      <c r="E11" s="20"/>
      <c r="F11" s="20"/>
      <c r="G11" s="20"/>
      <c r="H11" s="20"/>
    </row>
    <row r="12" spans="1:8" x14ac:dyDescent="0.25">
      <c r="B12" s="78" t="s">
        <v>138</v>
      </c>
      <c r="C12" s="78" t="s">
        <v>462</v>
      </c>
      <c r="D12" s="78" t="s">
        <v>183</v>
      </c>
      <c r="E12" s="78" t="s">
        <v>463</v>
      </c>
      <c r="F12" s="78" t="s">
        <v>464</v>
      </c>
    </row>
    <row r="13" spans="1:8" x14ac:dyDescent="0.25">
      <c r="B13" s="79" t="s">
        <v>184</v>
      </c>
      <c r="C13" s="80">
        <v>0.06</v>
      </c>
      <c r="D13" s="81">
        <f>C13*100</f>
        <v>6</v>
      </c>
      <c r="E13" s="80">
        <v>0.03</v>
      </c>
      <c r="F13" s="81">
        <f>E13*100</f>
        <v>3</v>
      </c>
    </row>
    <row r="14" spans="1:8" x14ac:dyDescent="0.25">
      <c r="B14" s="79" t="s">
        <v>465</v>
      </c>
      <c r="C14" s="82">
        <v>12</v>
      </c>
      <c r="D14" s="79"/>
      <c r="E14" s="82">
        <v>20</v>
      </c>
      <c r="F14" s="79"/>
    </row>
    <row r="15" spans="1:8" x14ac:dyDescent="0.25">
      <c r="B15" s="79" t="s">
        <v>466</v>
      </c>
      <c r="C15" s="82">
        <v>11</v>
      </c>
      <c r="D15" s="81">
        <f>(C14-C15)/C14*C16*100</f>
        <v>4.1666666666666661</v>
      </c>
      <c r="E15" s="82">
        <v>19</v>
      </c>
      <c r="F15" s="81">
        <f>(E14-E15)/E14*C16*100</f>
        <v>2.5</v>
      </c>
    </row>
    <row r="16" spans="1:8" x14ac:dyDescent="0.25">
      <c r="B16" s="79" t="s">
        <v>467</v>
      </c>
      <c r="C16" s="80">
        <v>0.5</v>
      </c>
      <c r="D16" s="79" t="s">
        <v>468</v>
      </c>
      <c r="E16" s="79"/>
      <c r="F16" s="79"/>
    </row>
    <row r="17" spans="2:8" x14ac:dyDescent="0.25">
      <c r="B17" s="79" t="s">
        <v>314</v>
      </c>
      <c r="C17" s="82">
        <v>30</v>
      </c>
      <c r="D17" s="81">
        <f>((1+C9)^(C17/365)-1)*100</f>
        <v>1.6478198455615267</v>
      </c>
      <c r="E17" s="82">
        <v>0</v>
      </c>
      <c r="F17" s="81">
        <f>((1+C9)^(E17/365)-1)*100</f>
        <v>0</v>
      </c>
    </row>
    <row r="18" spans="2:8" x14ac:dyDescent="0.25">
      <c r="B18" s="49" t="s">
        <v>469</v>
      </c>
      <c r="D18" s="65">
        <f>D13+D15+D17</f>
        <v>11.814486512228193</v>
      </c>
      <c r="F18" s="83">
        <f>F13+F15+F17</f>
        <v>5.5</v>
      </c>
    </row>
    <row r="19" spans="2:8" x14ac:dyDescent="0.25">
      <c r="B19" s="41" t="s">
        <v>182</v>
      </c>
      <c r="D19" s="64">
        <f>D18/100*C6</f>
        <v>26937029.24788028</v>
      </c>
      <c r="F19" s="50">
        <f>F18/100*C6</f>
        <v>12540000</v>
      </c>
    </row>
    <row r="20" spans="2:8" x14ac:dyDescent="0.25">
      <c r="B20" s="41" t="s">
        <v>470</v>
      </c>
      <c r="D20" s="66">
        <f>C7*100-D18</f>
        <v>13.185513487771807</v>
      </c>
      <c r="F20" s="66">
        <f>C7*100-F18</f>
        <v>19.5</v>
      </c>
    </row>
    <row r="21" spans="2:8" x14ac:dyDescent="0.25">
      <c r="B21" s="41" t="s">
        <v>471</v>
      </c>
      <c r="D21" s="50">
        <f>D19-F19</f>
        <v>14397029.24788028</v>
      </c>
    </row>
    <row r="23" spans="2:8" ht="30" customHeight="1" x14ac:dyDescent="0.25">
      <c r="B23" s="54" t="str">
        <f>IF(F18&lt;=C8,"La contrapropuesta cabe en el presupuesto ("&amp;TEXT(F18,"0,0")&amp;" pts de "&amp;TEXT(C8,"0")&amp;"). El pliego original NO ("&amp;TEXT(D18,"0,0")&amp;" pts): responda el paquete completo, otro día, con contrapartida verificable.","Ni la contraoferta cabe: recorte o escale (D7).")</f>
        <v>La contrapropuesta cabe en el presupuesto (5,5 pts de 6). El pliego original NO (11,8 pts): responda el paquete completo, otro día, con contrapartida verificable.</v>
      </c>
      <c r="C23" s="55"/>
      <c r="D23" s="55"/>
      <c r="E23" s="55"/>
      <c r="F23" s="55"/>
      <c r="G23" s="55"/>
      <c r="H23" s="55"/>
    </row>
    <row r="25" spans="2:8" x14ac:dyDescent="0.25">
      <c r="B25" s="45" t="s">
        <v>472</v>
      </c>
      <c r="C25" s="45" t="s">
        <v>473</v>
      </c>
      <c r="D25" s="45" t="s">
        <v>474</v>
      </c>
    </row>
    <row r="26" spans="2:8" ht="63.75" x14ac:dyDescent="0.25">
      <c r="B26" s="46" t="s">
        <v>475</v>
      </c>
      <c r="C26" s="46" t="s">
        <v>476</v>
      </c>
      <c r="D26" s="46" t="s">
        <v>477</v>
      </c>
    </row>
    <row r="27" spans="2:8" ht="51" x14ac:dyDescent="0.25">
      <c r="B27" s="48" t="s">
        <v>478</v>
      </c>
      <c r="C27" s="48" t="s">
        <v>479</v>
      </c>
      <c r="D27" s="48" t="s">
        <v>480</v>
      </c>
    </row>
    <row r="28" spans="2:8" ht="38.25" x14ac:dyDescent="0.25">
      <c r="B28" s="46" t="s">
        <v>481</v>
      </c>
      <c r="C28" s="46" t="s">
        <v>482</v>
      </c>
      <c r="D28" s="46" t="s">
        <v>483</v>
      </c>
    </row>
    <row r="29" spans="2:8" ht="63.75" x14ac:dyDescent="0.25">
      <c r="B29" s="48" t="s">
        <v>484</v>
      </c>
      <c r="C29" s="48" t="s">
        <v>485</v>
      </c>
      <c r="D29" s="48" t="s">
        <v>52</v>
      </c>
    </row>
    <row r="30" spans="2:8" ht="63.75" x14ac:dyDescent="0.25">
      <c r="B30" s="46" t="s">
        <v>486</v>
      </c>
      <c r="C30" s="46" t="s">
        <v>487</v>
      </c>
      <c r="D30" s="46" t="s">
        <v>488</v>
      </c>
    </row>
    <row r="31" spans="2:8" ht="63.75" x14ac:dyDescent="0.25">
      <c r="B31" s="48" t="s">
        <v>489</v>
      </c>
      <c r="C31" s="48" t="s">
        <v>490</v>
      </c>
      <c r="D31" s="48" t="s">
        <v>75</v>
      </c>
    </row>
    <row r="32" spans="2:8" ht="25.5" x14ac:dyDescent="0.25">
      <c r="B32" s="46" t="s">
        <v>491</v>
      </c>
      <c r="C32" s="46" t="s">
        <v>492</v>
      </c>
      <c r="D32" s="46" t="s">
        <v>493</v>
      </c>
    </row>
  </sheetData>
  <hyperlinks>
    <hyperlink ref="B3" location="'Indice'!A1" display="◀ Volver al índice" xr:uid="{00000000-0004-0000-1400-000000000000}"/>
  </hyperlinks>
  <pageMargins left="0.75" right="0.75" top="1" bottom="1"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E8A13D"/>
  </sheetPr>
  <dimension ref="A1:H25"/>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84"/>
      <c r="B1" s="36" t="s">
        <v>494</v>
      </c>
      <c r="C1" s="2"/>
      <c r="D1" s="2"/>
      <c r="E1" s="2"/>
      <c r="F1" s="2"/>
      <c r="G1" s="2"/>
      <c r="H1" s="2"/>
    </row>
    <row r="2" spans="1:8" x14ac:dyDescent="0.25">
      <c r="B2" s="3" t="s">
        <v>77</v>
      </c>
    </row>
    <row r="3" spans="1:8" x14ac:dyDescent="0.25">
      <c r="B3" s="37" t="s">
        <v>124</v>
      </c>
      <c r="E3" s="38" t="s">
        <v>495</v>
      </c>
    </row>
    <row r="4" spans="1:8" x14ac:dyDescent="0.25">
      <c r="B4" s="39" t="s">
        <v>126</v>
      </c>
    </row>
    <row r="6" spans="1:8" x14ac:dyDescent="0.25">
      <c r="B6" s="85" t="s">
        <v>496</v>
      </c>
      <c r="C6" s="25"/>
      <c r="D6" s="25"/>
      <c r="E6" s="25"/>
      <c r="F6" s="25"/>
      <c r="G6" s="25"/>
      <c r="H6" s="25"/>
    </row>
    <row r="7" spans="1:8" ht="16.5" customHeight="1" x14ac:dyDescent="0.25">
      <c r="B7" s="41" t="s">
        <v>497</v>
      </c>
      <c r="F7" s="67"/>
    </row>
    <row r="8" spans="1:8" ht="16.5" customHeight="1" x14ac:dyDescent="0.25">
      <c r="B8" s="41" t="s">
        <v>498</v>
      </c>
      <c r="F8" s="67"/>
    </row>
    <row r="9" spans="1:8" ht="16.5" customHeight="1" x14ac:dyDescent="0.25">
      <c r="B9" s="41" t="s">
        <v>499</v>
      </c>
      <c r="F9" s="67"/>
    </row>
    <row r="10" spans="1:8" ht="16.5" customHeight="1" x14ac:dyDescent="0.25">
      <c r="B10" s="41" t="s">
        <v>500</v>
      </c>
      <c r="F10" s="67"/>
    </row>
    <row r="11" spans="1:8" ht="16.5" customHeight="1" x14ac:dyDescent="0.25">
      <c r="B11" s="41" t="s">
        <v>501</v>
      </c>
      <c r="F11" s="67"/>
    </row>
    <row r="12" spans="1:8" ht="16.5" customHeight="1" x14ac:dyDescent="0.25">
      <c r="B12" s="41" t="s">
        <v>502</v>
      </c>
      <c r="F12" s="67"/>
    </row>
    <row r="13" spans="1:8" ht="16.5" customHeight="1" x14ac:dyDescent="0.25">
      <c r="B13" s="41" t="s">
        <v>503</v>
      </c>
      <c r="F13" s="67"/>
    </row>
    <row r="15" spans="1:8" x14ac:dyDescent="0.25">
      <c r="B15" s="41" t="s">
        <v>504</v>
      </c>
      <c r="C15" s="68" t="str">
        <f>COUNTA(F7:F13)&amp;" de 7"</f>
        <v>0 de 7</v>
      </c>
    </row>
    <row r="17" spans="2:8" ht="30" customHeight="1" x14ac:dyDescent="0.25">
      <c r="B17" s="54" t="str">
        <f>IF(COUNTA(F7:F13)=7,"Acuerdo CERRADO: envíelo hoy mismo y pida confirmación por el mismo medio.","NO está cerrado: faltan "&amp;(7-COUNTA(F7:F13))&amp;" elementos — cada uno tapa una fuga conocida.")</f>
        <v>NO está cerrado: faltan 7 elementos — cada uno tapa una fuga conocida.</v>
      </c>
      <c r="C17" s="55"/>
      <c r="D17" s="55"/>
      <c r="E17" s="55"/>
      <c r="F17" s="55"/>
      <c r="G17" s="55"/>
      <c r="H17" s="55"/>
    </row>
    <row r="19" spans="2:8" x14ac:dyDescent="0.25">
      <c r="B19" s="85" t="s">
        <v>505</v>
      </c>
      <c r="C19" s="25"/>
      <c r="D19" s="25"/>
      <c r="E19" s="25"/>
      <c r="F19" s="25"/>
      <c r="G19" s="25"/>
      <c r="H19" s="25"/>
    </row>
    <row r="20" spans="2:8" x14ac:dyDescent="0.25">
      <c r="B20" s="41" t="s">
        <v>313</v>
      </c>
      <c r="C20" s="43">
        <v>0.03</v>
      </c>
    </row>
    <row r="21" spans="2:8" x14ac:dyDescent="0.25">
      <c r="B21" s="41" t="s">
        <v>506</v>
      </c>
      <c r="C21" s="6">
        <v>1000</v>
      </c>
    </row>
    <row r="22" spans="2:8" x14ac:dyDescent="0.25">
      <c r="B22" s="41" t="s">
        <v>507</v>
      </c>
      <c r="C22" s="42">
        <v>456000</v>
      </c>
    </row>
    <row r="23" spans="2:8" ht="25.5" x14ac:dyDescent="0.25">
      <c r="B23" s="41" t="s">
        <v>508</v>
      </c>
      <c r="C23" s="64">
        <f>C20*C21*C22</f>
        <v>13680000</v>
      </c>
    </row>
    <row r="25" spans="2:8" ht="39.75" customHeight="1" x14ac:dyDescent="0.25">
      <c r="B25" s="9" t="s">
        <v>509</v>
      </c>
    </row>
  </sheetData>
  <dataValidations count="1">
    <dataValidation type="list" allowBlank="1" sqref="F7:F13" xr:uid="{00000000-0002-0000-1500-000000000000}">
      <formula1>"✓"</formula1>
      <formula2>0</formula2>
    </dataValidation>
  </dataValidations>
  <hyperlinks>
    <hyperlink ref="B3" location="'Indice'!A1" display="◀ Volver al índice" xr:uid="{00000000-0004-0000-1500-000000000000}"/>
  </hyperlinks>
  <pageMargins left="0.75" right="0.75" top="1" bottom="1"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E8A13D"/>
  </sheetPr>
  <dimension ref="A1:H24"/>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84"/>
      <c r="B1" s="36" t="s">
        <v>510</v>
      </c>
      <c r="C1" s="2"/>
      <c r="D1" s="2"/>
      <c r="E1" s="2"/>
      <c r="F1" s="2"/>
      <c r="G1" s="2"/>
      <c r="H1" s="2"/>
    </row>
    <row r="2" spans="1:8" x14ac:dyDescent="0.25">
      <c r="B2" s="3" t="s">
        <v>511</v>
      </c>
    </row>
    <row r="3" spans="1:8" x14ac:dyDescent="0.25">
      <c r="B3" s="37" t="s">
        <v>124</v>
      </c>
      <c r="E3" s="38" t="s">
        <v>512</v>
      </c>
    </row>
    <row r="4" spans="1:8" x14ac:dyDescent="0.25">
      <c r="B4" s="39" t="s">
        <v>126</v>
      </c>
    </row>
    <row r="6" spans="1:8" x14ac:dyDescent="0.25">
      <c r="B6" s="41" t="s">
        <v>513</v>
      </c>
      <c r="C6" s="6">
        <v>1150</v>
      </c>
    </row>
    <row r="7" spans="1:8" x14ac:dyDescent="0.25">
      <c r="B7" s="41" t="s">
        <v>514</v>
      </c>
      <c r="C7" s="6">
        <v>8</v>
      </c>
    </row>
    <row r="8" spans="1:8" x14ac:dyDescent="0.25">
      <c r="B8" s="41" t="s">
        <v>515</v>
      </c>
      <c r="C8" s="6">
        <v>690</v>
      </c>
    </row>
    <row r="10" spans="1:8" x14ac:dyDescent="0.25">
      <c r="B10" s="85" t="s">
        <v>516</v>
      </c>
      <c r="C10" s="25"/>
      <c r="D10" s="25"/>
      <c r="E10" s="25"/>
      <c r="F10" s="25"/>
      <c r="G10" s="25"/>
      <c r="H10" s="25"/>
    </row>
    <row r="11" spans="1:8" x14ac:dyDescent="0.25">
      <c r="B11" s="41" t="s">
        <v>517</v>
      </c>
      <c r="C11" s="8">
        <f>C6*C7/12</f>
        <v>766.66666666666663</v>
      </c>
    </row>
    <row r="12" spans="1:8" x14ac:dyDescent="0.25">
      <c r="B12" s="41" t="s">
        <v>518</v>
      </c>
      <c r="C12" s="86">
        <f>C8/(C6*C7/12)</f>
        <v>0.9</v>
      </c>
    </row>
    <row r="13" spans="1:8" x14ac:dyDescent="0.25">
      <c r="B13" s="41" t="s">
        <v>519</v>
      </c>
      <c r="C13" s="87">
        <f>C8/C7*12</f>
        <v>1035</v>
      </c>
    </row>
    <row r="14" spans="1:8" x14ac:dyDescent="0.25">
      <c r="B14" s="41" t="s">
        <v>520</v>
      </c>
      <c r="C14" s="8">
        <f>IF(C7&gt;=12,"—",(C6-C8)/(12-C7))</f>
        <v>115</v>
      </c>
    </row>
    <row r="16" spans="1:8" ht="30" customHeight="1" x14ac:dyDescent="0.25">
      <c r="B16" s="54" t="str">
        <f>IF(C13&lt;C6,"NO VA A LLEGAR: proyecta "&amp;TEXT(C13,"#,##0")&amp;" de "&amp;TEXT(C6,"#,##0")&amp;". No está atrasado: no va a llegar — y las condiciones se están pagando igual. Ajuste en el próximo corte, no en diciembre.","Va al ritmo: sostenga condiciones y documente el corte.")</f>
        <v>NO VA A LLEGAR: proyecta 1035,0 de 1150,0. No está atrasado: no va a llegar — y las condiciones se están pagando igual. Ajuste en el próximo corte, no en diciembre.</v>
      </c>
      <c r="C16" s="55"/>
      <c r="D16" s="55"/>
      <c r="E16" s="55"/>
      <c r="F16" s="55"/>
      <c r="G16" s="55"/>
      <c r="H16" s="55"/>
    </row>
    <row r="18" spans="2:5" ht="24" x14ac:dyDescent="0.25">
      <c r="B18" s="45" t="s">
        <v>521</v>
      </c>
      <c r="C18" s="45" t="s">
        <v>522</v>
      </c>
      <c r="D18" s="45" t="s">
        <v>523</v>
      </c>
      <c r="E18" s="45" t="s">
        <v>524</v>
      </c>
    </row>
    <row r="19" spans="2:5" ht="38.25" x14ac:dyDescent="0.25">
      <c r="B19" s="46" t="s">
        <v>525</v>
      </c>
      <c r="C19" s="88">
        <f>C$6*0.25</f>
        <v>287.5</v>
      </c>
      <c r="D19" s="88">
        <f>C$6*0.2</f>
        <v>230</v>
      </c>
      <c r="E19" s="46" t="s">
        <v>526</v>
      </c>
    </row>
    <row r="20" spans="2:5" ht="25.5" x14ac:dyDescent="0.25">
      <c r="B20" s="48" t="s">
        <v>527</v>
      </c>
      <c r="C20" s="88">
        <f>C$6*0.5</f>
        <v>575</v>
      </c>
      <c r="D20" s="88">
        <f>C$6*0.42</f>
        <v>483</v>
      </c>
      <c r="E20" s="48" t="s">
        <v>528</v>
      </c>
    </row>
    <row r="21" spans="2:5" ht="38.25" x14ac:dyDescent="0.25">
      <c r="B21" s="46" t="s">
        <v>529</v>
      </c>
      <c r="C21" s="88">
        <f>C$6*0.75</f>
        <v>862.5</v>
      </c>
      <c r="D21" s="88">
        <f>C$6*0.65</f>
        <v>747.5</v>
      </c>
      <c r="E21" s="46" t="s">
        <v>530</v>
      </c>
    </row>
    <row r="22" spans="2:5" ht="38.25" x14ac:dyDescent="0.25">
      <c r="B22" s="48" t="s">
        <v>531</v>
      </c>
      <c r="C22" s="88">
        <f>C$6*1</f>
        <v>1150</v>
      </c>
      <c r="D22" s="48" t="s">
        <v>532</v>
      </c>
      <c r="E22" s="48" t="s">
        <v>533</v>
      </c>
    </row>
    <row r="24" spans="2:5" ht="30" customHeight="1" x14ac:dyDescent="0.25">
      <c r="B24" s="9" t="s">
        <v>534</v>
      </c>
    </row>
  </sheetData>
  <hyperlinks>
    <hyperlink ref="B3" location="'Indice'!A1" display="◀ Volver al índice" xr:uid="{00000000-0004-0000-1600-000000000000}"/>
  </hyperlinks>
  <pageMargins left="0.75" right="0.75" top="1" bottom="1" header="0.511811023622047" footer="0.511811023622047"/>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E8A13D"/>
  </sheetPr>
  <dimension ref="A1:H22"/>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84"/>
      <c r="B1" s="36" t="s">
        <v>535</v>
      </c>
      <c r="C1" s="2"/>
      <c r="D1" s="2"/>
      <c r="E1" s="2"/>
      <c r="F1" s="2"/>
      <c r="G1" s="2"/>
      <c r="H1" s="2"/>
    </row>
    <row r="2" spans="1:8" x14ac:dyDescent="0.25">
      <c r="B2" s="3" t="s">
        <v>83</v>
      </c>
    </row>
    <row r="3" spans="1:8" x14ac:dyDescent="0.25">
      <c r="B3" s="37" t="s">
        <v>124</v>
      </c>
      <c r="E3" s="38" t="s">
        <v>536</v>
      </c>
    </row>
    <row r="4" spans="1:8" x14ac:dyDescent="0.25">
      <c r="B4" s="39" t="s">
        <v>126</v>
      </c>
    </row>
    <row r="6" spans="1:8" x14ac:dyDescent="0.25">
      <c r="B6" s="85" t="s">
        <v>537</v>
      </c>
      <c r="C6" s="25"/>
      <c r="D6" s="25"/>
      <c r="E6" s="25"/>
      <c r="F6" s="25"/>
      <c r="G6" s="25"/>
      <c r="H6" s="25"/>
    </row>
    <row r="7" spans="1:8" ht="16.5" customHeight="1" x14ac:dyDescent="0.25">
      <c r="B7" s="41" t="s">
        <v>538</v>
      </c>
      <c r="E7" s="89" t="s">
        <v>539</v>
      </c>
      <c r="G7" s="67"/>
    </row>
    <row r="8" spans="1:8" ht="16.5" customHeight="1" x14ac:dyDescent="0.25">
      <c r="B8" s="41" t="s">
        <v>540</v>
      </c>
      <c r="E8" s="89" t="s">
        <v>541</v>
      </c>
      <c r="G8" s="67"/>
    </row>
    <row r="9" spans="1:8" ht="16.5" customHeight="1" x14ac:dyDescent="0.25">
      <c r="B9" s="41" t="s">
        <v>542</v>
      </c>
      <c r="E9" s="89" t="s">
        <v>543</v>
      </c>
      <c r="G9" s="67"/>
    </row>
    <row r="10" spans="1:8" ht="16.5" customHeight="1" x14ac:dyDescent="0.25">
      <c r="B10" s="41" t="s">
        <v>544</v>
      </c>
      <c r="E10" s="89" t="s">
        <v>545</v>
      </c>
      <c r="G10" s="67"/>
    </row>
    <row r="12" spans="1:8" ht="30" customHeight="1" x14ac:dyDescent="0.25">
      <c r="B12" s="54" t="str">
        <f>IF(COUNTA(G7:G10)&gt;0,"Documente y escale HOY. No lo discuta a solas con el cliente: si es cierto se pone en guardia; si no, dañó la relación por nada.","Sin señales este mes: repita la revisión el próximo.")</f>
        <v>Sin señales este mes: repita la revisión el próximo.</v>
      </c>
      <c r="C12" s="55"/>
      <c r="D12" s="55"/>
      <c r="E12" s="55"/>
      <c r="F12" s="55"/>
      <c r="G12" s="55"/>
      <c r="H12" s="55"/>
    </row>
    <row r="14" spans="1:8" x14ac:dyDescent="0.25">
      <c r="B14" s="85" t="s">
        <v>546</v>
      </c>
      <c r="C14" s="25"/>
      <c r="D14" s="25"/>
      <c r="E14" s="25"/>
      <c r="F14" s="25"/>
      <c r="G14" s="25"/>
      <c r="H14" s="25"/>
    </row>
    <row r="15" spans="1:8" x14ac:dyDescent="0.25">
      <c r="B15" s="41" t="s">
        <v>547</v>
      </c>
      <c r="C15" s="43">
        <v>0.08</v>
      </c>
    </row>
    <row r="16" spans="1:8" x14ac:dyDescent="0.25">
      <c r="B16" s="41" t="s">
        <v>548</v>
      </c>
      <c r="C16" s="43">
        <v>0.04</v>
      </c>
    </row>
    <row r="17" spans="2:3" x14ac:dyDescent="0.25">
      <c r="B17" s="41" t="s">
        <v>549</v>
      </c>
      <c r="C17" s="42">
        <v>38000</v>
      </c>
    </row>
    <row r="18" spans="2:3" x14ac:dyDescent="0.25">
      <c r="B18" s="41" t="s">
        <v>550</v>
      </c>
      <c r="C18" s="52">
        <f>C17*(1-C15)</f>
        <v>34960</v>
      </c>
    </row>
    <row r="19" spans="2:3" x14ac:dyDescent="0.25">
      <c r="B19" s="41" t="s">
        <v>551</v>
      </c>
      <c r="C19" s="64">
        <f>C18*(1+C16)</f>
        <v>36358.400000000001</v>
      </c>
    </row>
    <row r="20" spans="2:3" x14ac:dyDescent="0.25">
      <c r="B20" s="41" t="s">
        <v>552</v>
      </c>
      <c r="C20" s="53">
        <f>1-C19/C17</f>
        <v>4.3200000000000016E-2</v>
      </c>
    </row>
    <row r="22" spans="2:3" ht="30" customHeight="1" x14ac:dyDescent="0.25">
      <c r="B22" s="9" t="s">
        <v>553</v>
      </c>
    </row>
  </sheetData>
  <dataValidations count="1">
    <dataValidation type="list" allowBlank="1" sqref="G7:G10" xr:uid="{00000000-0002-0000-1700-000000000000}">
      <formula1>"✓"</formula1>
      <formula2>0</formula2>
    </dataValidation>
  </dataValidations>
  <hyperlinks>
    <hyperlink ref="B3" location="'Indice'!A1" display="◀ Volver al índice" xr:uid="{00000000-0004-0000-1700-000000000000}"/>
  </hyperlinks>
  <pageMargins left="0.75" right="0.75" top="1" bottom="1" header="0.511811023622047" footer="0.511811023622047"/>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E8A13D"/>
  </sheetPr>
  <dimension ref="A1:H23"/>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84"/>
      <c r="B1" s="36" t="s">
        <v>554</v>
      </c>
      <c r="C1" s="2"/>
      <c r="D1" s="2"/>
      <c r="E1" s="2"/>
      <c r="F1" s="2"/>
      <c r="G1" s="2"/>
      <c r="H1" s="2"/>
    </row>
    <row r="2" spans="1:8" x14ac:dyDescent="0.25">
      <c r="B2" s="3" t="s">
        <v>86</v>
      </c>
    </row>
    <row r="3" spans="1:8" x14ac:dyDescent="0.25">
      <c r="B3" s="37" t="s">
        <v>124</v>
      </c>
      <c r="E3" s="38" t="s">
        <v>555</v>
      </c>
    </row>
    <row r="4" spans="1:8" x14ac:dyDescent="0.25">
      <c r="B4" s="39" t="s">
        <v>126</v>
      </c>
    </row>
    <row r="6" spans="1:8" x14ac:dyDescent="0.25">
      <c r="B6" s="41" t="s">
        <v>405</v>
      </c>
      <c r="C6" s="42">
        <v>50000000</v>
      </c>
    </row>
    <row r="7" spans="1:8" x14ac:dyDescent="0.25">
      <c r="B7" s="41" t="s">
        <v>406</v>
      </c>
      <c r="C7" s="6">
        <v>90</v>
      </c>
    </row>
    <row r="8" spans="1:8" x14ac:dyDescent="0.25">
      <c r="B8" s="41" t="s">
        <v>136</v>
      </c>
      <c r="C8" s="43">
        <v>0.22</v>
      </c>
    </row>
    <row r="9" spans="1:8" x14ac:dyDescent="0.25">
      <c r="B9" s="41" t="s">
        <v>556</v>
      </c>
      <c r="C9" s="43">
        <v>0.25</v>
      </c>
    </row>
    <row r="11" spans="1:8" x14ac:dyDescent="0.25">
      <c r="B11" s="41" t="s">
        <v>557</v>
      </c>
      <c r="C11" s="68" t="str">
        <f>IF(C7&lt;=15,"1–15 días",IF(C7&lt;=30,"16–30 días",IF(C7&lt;=60,"31–60 días","Más de 60 días")))</f>
        <v>Más de 60 días</v>
      </c>
    </row>
    <row r="12" spans="1:8" x14ac:dyDescent="0.25">
      <c r="B12" s="41" t="s">
        <v>558</v>
      </c>
      <c r="C12" s="64">
        <f>C6*((1+C8)^(C7/365)-1)</f>
        <v>2512683.1390989921</v>
      </c>
    </row>
    <row r="13" spans="1:8" x14ac:dyDescent="0.25">
      <c r="B13" s="41" t="s">
        <v>559</v>
      </c>
      <c r="C13" s="53">
        <f>C12/(C6*C9)</f>
        <v>0.20101465112791936</v>
      </c>
    </row>
    <row r="15" spans="1:8" x14ac:dyDescent="0.25">
      <c r="B15" s="45" t="s">
        <v>406</v>
      </c>
      <c r="C15" s="45" t="s">
        <v>560</v>
      </c>
      <c r="D15" s="45" t="s">
        <v>561</v>
      </c>
      <c r="E15" s="45" t="s">
        <v>562</v>
      </c>
    </row>
    <row r="16" spans="1:8" ht="51" x14ac:dyDescent="0.25">
      <c r="B16" s="46" t="s">
        <v>563</v>
      </c>
      <c r="C16" s="46" t="s">
        <v>564</v>
      </c>
      <c r="D16" s="46" t="s">
        <v>565</v>
      </c>
      <c r="E16" s="46" t="s">
        <v>566</v>
      </c>
    </row>
    <row r="17" spans="2:8" ht="38.25" x14ac:dyDescent="0.25">
      <c r="B17" s="48" t="s">
        <v>567</v>
      </c>
      <c r="C17" s="48" t="s">
        <v>568</v>
      </c>
      <c r="D17" s="48" t="s">
        <v>569</v>
      </c>
      <c r="E17" s="48" t="s">
        <v>570</v>
      </c>
    </row>
    <row r="18" spans="2:8" ht="51" x14ac:dyDescent="0.25">
      <c r="B18" s="46" t="s">
        <v>571</v>
      </c>
      <c r="C18" s="46" t="s">
        <v>572</v>
      </c>
      <c r="D18" s="46" t="s">
        <v>573</v>
      </c>
      <c r="E18" s="46" t="s">
        <v>574</v>
      </c>
    </row>
    <row r="19" spans="2:8" ht="51" x14ac:dyDescent="0.25">
      <c r="B19" s="48" t="s">
        <v>575</v>
      </c>
      <c r="C19" s="48" t="s">
        <v>576</v>
      </c>
      <c r="D19" s="48" t="s">
        <v>577</v>
      </c>
      <c r="E19" s="48" t="s">
        <v>578</v>
      </c>
    </row>
    <row r="21" spans="2:8" ht="30" customHeight="1" x14ac:dyDescent="0.25">
      <c r="B21" s="54" t="s">
        <v>579</v>
      </c>
      <c r="C21" s="55"/>
      <c r="D21" s="55"/>
      <c r="E21" s="55"/>
      <c r="F21" s="55"/>
      <c r="G21" s="55"/>
      <c r="H21" s="55"/>
    </row>
    <row r="23" spans="2:8" ht="31.5" customHeight="1" x14ac:dyDescent="0.25">
      <c r="B23" s="9" t="s">
        <v>580</v>
      </c>
    </row>
  </sheetData>
  <hyperlinks>
    <hyperlink ref="B3" location="'Indice'!A1" display="◀ Volver al índice" xr:uid="{00000000-0004-0000-1800-000000000000}"/>
  </hyperlinks>
  <pageMargins left="0.75" right="0.75" top="1" bottom="1" header="0.511811023622047" footer="0.511811023622047"/>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E8A13D"/>
  </sheetPr>
  <dimension ref="A1:H21"/>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84"/>
      <c r="B1" s="36" t="s">
        <v>581</v>
      </c>
      <c r="C1" s="2"/>
      <c r="D1" s="2"/>
      <c r="E1" s="2"/>
      <c r="F1" s="2"/>
      <c r="G1" s="2"/>
      <c r="H1" s="2"/>
    </row>
    <row r="2" spans="1:8" x14ac:dyDescent="0.25">
      <c r="B2" s="3" t="s">
        <v>582</v>
      </c>
    </row>
    <row r="3" spans="1:8" x14ac:dyDescent="0.25">
      <c r="B3" s="37" t="s">
        <v>124</v>
      </c>
      <c r="E3" s="38" t="s">
        <v>583</v>
      </c>
    </row>
    <row r="4" spans="1:8" x14ac:dyDescent="0.25">
      <c r="B4" s="39" t="s">
        <v>126</v>
      </c>
    </row>
    <row r="6" spans="1:8" x14ac:dyDescent="0.25">
      <c r="B6" s="85" t="s">
        <v>584</v>
      </c>
      <c r="C6" s="25"/>
      <c r="D6" s="25"/>
      <c r="E6" s="25"/>
      <c r="F6" s="25"/>
      <c r="G6" s="25"/>
      <c r="H6" s="25"/>
    </row>
    <row r="7" spans="1:8" x14ac:dyDescent="0.25">
      <c r="B7" s="45" t="s">
        <v>585</v>
      </c>
      <c r="C7" s="45" t="s">
        <v>586</v>
      </c>
      <c r="D7" s="45" t="s">
        <v>561</v>
      </c>
    </row>
    <row r="8" spans="1:8" ht="51" x14ac:dyDescent="0.25">
      <c r="B8" s="46" t="s">
        <v>587</v>
      </c>
      <c r="C8" s="46" t="s">
        <v>588</v>
      </c>
      <c r="D8" s="46" t="s">
        <v>589</v>
      </c>
    </row>
    <row r="9" spans="1:8" ht="51" x14ac:dyDescent="0.25">
      <c r="B9" s="48" t="s">
        <v>590</v>
      </c>
      <c r="C9" s="48" t="s">
        <v>591</v>
      </c>
      <c r="D9" s="48" t="s">
        <v>592</v>
      </c>
    </row>
    <row r="10" spans="1:8" ht="51" x14ac:dyDescent="0.25">
      <c r="B10" s="46" t="s">
        <v>593</v>
      </c>
      <c r="C10" s="46" t="s">
        <v>594</v>
      </c>
      <c r="D10" s="46" t="s">
        <v>595</v>
      </c>
    </row>
    <row r="11" spans="1:8" ht="51" x14ac:dyDescent="0.25">
      <c r="B11" s="48" t="s">
        <v>596</v>
      </c>
      <c r="C11" s="48" t="s">
        <v>597</v>
      </c>
      <c r="D11" s="48" t="s">
        <v>598</v>
      </c>
    </row>
    <row r="12" spans="1:8" ht="38.25" x14ac:dyDescent="0.25">
      <c r="B12" s="46" t="s">
        <v>599</v>
      </c>
      <c r="C12" s="46" t="s">
        <v>600</v>
      </c>
      <c r="D12" s="46" t="s">
        <v>601</v>
      </c>
    </row>
    <row r="14" spans="1:8" x14ac:dyDescent="0.25">
      <c r="B14" s="85" t="s">
        <v>602</v>
      </c>
      <c r="C14" s="25"/>
      <c r="D14" s="25"/>
      <c r="E14" s="25"/>
      <c r="F14" s="25"/>
      <c r="G14" s="25"/>
      <c r="H14" s="25"/>
    </row>
    <row r="15" spans="1:8" x14ac:dyDescent="0.25">
      <c r="B15" s="41" t="s">
        <v>603</v>
      </c>
      <c r="C15" s="6">
        <v>1500</v>
      </c>
    </row>
    <row r="16" spans="1:8" x14ac:dyDescent="0.25">
      <c r="B16" s="41" t="s">
        <v>604</v>
      </c>
      <c r="C16" s="6">
        <v>1380</v>
      </c>
    </row>
    <row r="17" spans="2:8" x14ac:dyDescent="0.25">
      <c r="B17" s="41" t="s">
        <v>605</v>
      </c>
      <c r="C17" s="86">
        <f>C16/C15</f>
        <v>0.92</v>
      </c>
    </row>
    <row r="19" spans="2:8" ht="30" customHeight="1" x14ac:dyDescent="0.25">
      <c r="B19" s="54" t="str">
        <f>IF(C16/C15&gt;=0.95,"Al ritmo: sostenga condiciones y documente.",IF(C16/C15&gt;=0.8,"Rezago: aviso escrito y plan de recuperación (C2).","Incumplimiento: revisión formal de condiciones — la vigencia está atada al cumplimiento (C1)."))</f>
        <v>Rezago: aviso escrito y plan de recuperación (C2).</v>
      </c>
      <c r="C19" s="55"/>
      <c r="D19" s="55"/>
      <c r="E19" s="55"/>
      <c r="F19" s="55"/>
      <c r="G19" s="55"/>
      <c r="H19" s="55"/>
    </row>
    <row r="21" spans="2:8" ht="31.5" customHeight="1" x14ac:dyDescent="0.25">
      <c r="B21" s="9" t="s">
        <v>606</v>
      </c>
    </row>
  </sheetData>
  <hyperlinks>
    <hyperlink ref="B3" location="'Indice'!A1" display="◀ Volver al índice" xr:uid="{00000000-0004-0000-1900-000000000000}"/>
  </hyperlinks>
  <pageMargins left="0.75" right="0.75" top="1" bottom="1" header="0.511811023622047" footer="0.511811023622047"/>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E8A13D"/>
  </sheetPr>
  <dimension ref="A1:H23"/>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84"/>
      <c r="B1" s="36" t="s">
        <v>607</v>
      </c>
      <c r="C1" s="2"/>
      <c r="D1" s="2"/>
      <c r="E1" s="2"/>
      <c r="F1" s="2"/>
      <c r="G1" s="2"/>
      <c r="H1" s="2"/>
    </row>
    <row r="2" spans="1:8" x14ac:dyDescent="0.25">
      <c r="B2" s="3" t="s">
        <v>608</v>
      </c>
    </row>
    <row r="3" spans="1:8" x14ac:dyDescent="0.25">
      <c r="B3" s="37" t="s">
        <v>124</v>
      </c>
      <c r="E3" s="38" t="s">
        <v>609</v>
      </c>
    </row>
    <row r="4" spans="1:8" x14ac:dyDescent="0.25">
      <c r="B4" s="39" t="s">
        <v>126</v>
      </c>
    </row>
    <row r="6" spans="1:8" x14ac:dyDescent="0.25">
      <c r="B6" s="85" t="s">
        <v>610</v>
      </c>
      <c r="C6" s="25"/>
      <c r="D6" s="25"/>
      <c r="E6" s="25"/>
      <c r="F6" s="25"/>
      <c r="G6" s="25"/>
      <c r="H6" s="25"/>
    </row>
    <row r="7" spans="1:8" ht="16.5" customHeight="1" x14ac:dyDescent="0.25">
      <c r="B7" s="41" t="s">
        <v>611</v>
      </c>
      <c r="G7" s="67"/>
    </row>
    <row r="8" spans="1:8" ht="16.5" customHeight="1" x14ac:dyDescent="0.25">
      <c r="B8" s="41" t="s">
        <v>612</v>
      </c>
      <c r="G8" s="67"/>
    </row>
    <row r="9" spans="1:8" ht="16.5" customHeight="1" x14ac:dyDescent="0.25">
      <c r="B9" s="41" t="s">
        <v>613</v>
      </c>
      <c r="G9" s="67"/>
    </row>
    <row r="10" spans="1:8" ht="16.5" customHeight="1" x14ac:dyDescent="0.25">
      <c r="B10" s="41" t="s">
        <v>614</v>
      </c>
      <c r="G10" s="67"/>
    </row>
    <row r="11" spans="1:8" ht="16.5" customHeight="1" x14ac:dyDescent="0.25">
      <c r="B11" s="41" t="s">
        <v>615</v>
      </c>
      <c r="G11" s="67"/>
    </row>
    <row r="13" spans="1:8" x14ac:dyDescent="0.25">
      <c r="B13" s="85" t="s">
        <v>616</v>
      </c>
      <c r="C13" s="25"/>
      <c r="D13" s="25"/>
      <c r="E13" s="25"/>
      <c r="F13" s="25"/>
      <c r="G13" s="25"/>
      <c r="H13" s="25"/>
    </row>
    <row r="14" spans="1:8" ht="25.5" x14ac:dyDescent="0.25">
      <c r="B14" s="41" t="s">
        <v>617</v>
      </c>
      <c r="C14" s="42">
        <v>35664000</v>
      </c>
    </row>
    <row r="15" spans="1:8" x14ac:dyDescent="0.25">
      <c r="B15" s="41" t="s">
        <v>141</v>
      </c>
      <c r="C15" s="42">
        <v>228000000</v>
      </c>
    </row>
    <row r="16" spans="1:8" x14ac:dyDescent="0.25">
      <c r="B16" s="41" t="s">
        <v>618</v>
      </c>
      <c r="C16" s="61">
        <v>2</v>
      </c>
    </row>
    <row r="17" spans="2:8" x14ac:dyDescent="0.25">
      <c r="B17" s="41" t="s">
        <v>619</v>
      </c>
      <c r="C17" s="64">
        <f>C14*12</f>
        <v>427968000</v>
      </c>
    </row>
    <row r="18" spans="2:8" x14ac:dyDescent="0.25">
      <c r="B18" s="41" t="s">
        <v>620</v>
      </c>
      <c r="C18" s="52">
        <f>C16/100*C15*12</f>
        <v>54720000</v>
      </c>
    </row>
    <row r="19" spans="2:8" x14ac:dyDescent="0.25">
      <c r="B19" s="41" t="s">
        <v>621</v>
      </c>
      <c r="C19" s="90">
        <f>C18/C17</f>
        <v>0.12786002691790041</v>
      </c>
    </row>
    <row r="21" spans="2:8" ht="30" customHeight="1" x14ac:dyDescent="0.25">
      <c r="B21" s="54" t="str">
        <f>IF(COUNTA(G7:G11)&gt;=2,"DOS O MÁS SEÑALES: diagnostique antes de pagar — casi nunca es precio; suele ser servicio, agotados o relación. Y si se invierte, se invierte con contrapartida escrita.","La cuenta no muestra riesgo acumulado: mantenga la revisión trimestral (C5).")</f>
        <v>La cuenta no muestra riesgo acumulado: mantenga la revisión trimestral (C5).</v>
      </c>
      <c r="C21" s="55"/>
      <c r="D21" s="55"/>
      <c r="E21" s="55"/>
      <c r="F21" s="55"/>
      <c r="G21" s="55"/>
      <c r="H21" s="55"/>
    </row>
    <row r="23" spans="2:8" ht="39.75" customHeight="1" x14ac:dyDescent="0.25">
      <c r="B23" s="9" t="s">
        <v>622</v>
      </c>
    </row>
  </sheetData>
  <dataValidations count="1">
    <dataValidation type="list" allowBlank="1" sqref="G7:G11" xr:uid="{00000000-0002-0000-1A00-000000000000}">
      <formula1>"✓"</formula1>
      <formula2>0</formula2>
    </dataValidation>
  </dataValidations>
  <hyperlinks>
    <hyperlink ref="B3" location="'Indice'!A1" display="◀ Volver al índice" xr:uid="{00000000-0004-0000-1A00-000000000000}"/>
  </hyperlinks>
  <pageMargins left="0.75" right="0.75" top="1" bottom="1" header="0.511811023622047" footer="0.511811023622047"/>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F1F4B"/>
  </sheetPr>
  <dimension ref="A1:H25"/>
  <sheetViews>
    <sheetView showGridLines="0" zoomScaleNormal="100" workbookViewId="0"/>
  </sheetViews>
  <sheetFormatPr baseColWidth="10" defaultColWidth="8.7109375" defaultRowHeight="15" x14ac:dyDescent="0.25"/>
  <cols>
    <col min="1" max="1" width="2.42578125" customWidth="1"/>
    <col min="2" max="2" width="16" customWidth="1"/>
    <col min="3" max="8" width="12" customWidth="1"/>
  </cols>
  <sheetData>
    <row r="1" spans="1:8" ht="27" customHeight="1" x14ac:dyDescent="0.25">
      <c r="A1" s="2"/>
      <c r="B1" s="36" t="s">
        <v>623</v>
      </c>
      <c r="C1" s="2"/>
      <c r="D1" s="2"/>
      <c r="E1" s="2"/>
      <c r="F1" s="2"/>
      <c r="G1" s="2"/>
      <c r="H1" s="2"/>
    </row>
    <row r="2" spans="1:8" x14ac:dyDescent="0.25">
      <c r="B2" s="3" t="s">
        <v>624</v>
      </c>
    </row>
    <row r="3" spans="1:8" x14ac:dyDescent="0.25">
      <c r="B3" s="37" t="s">
        <v>124</v>
      </c>
      <c r="E3" s="38" t="s">
        <v>625</v>
      </c>
    </row>
    <row r="4" spans="1:8" x14ac:dyDescent="0.25">
      <c r="B4" s="39" t="s">
        <v>126</v>
      </c>
    </row>
    <row r="6" spans="1:8" x14ac:dyDescent="0.25">
      <c r="B6" s="91" t="s">
        <v>626</v>
      </c>
      <c r="C6" s="30"/>
      <c r="D6" s="30"/>
      <c r="E6" s="30"/>
      <c r="F6" s="30"/>
      <c r="G6" s="30"/>
      <c r="H6" s="30"/>
    </row>
    <row r="7" spans="1:8" ht="25.5" x14ac:dyDescent="0.25">
      <c r="B7" s="49" t="s">
        <v>627</v>
      </c>
      <c r="C7" s="43">
        <v>0.15</v>
      </c>
      <c r="D7" s="43">
        <v>0.2</v>
      </c>
      <c r="E7" s="43">
        <v>0.25</v>
      </c>
      <c r="F7" s="43">
        <v>0.3</v>
      </c>
      <c r="G7" s="43">
        <v>0.35</v>
      </c>
      <c r="H7" s="43">
        <v>0.4</v>
      </c>
    </row>
    <row r="8" spans="1:8" x14ac:dyDescent="0.25">
      <c r="B8" s="43">
        <v>0.02</v>
      </c>
      <c r="C8" s="92">
        <f t="shared" ref="C8:H21" si="0">IF($B8&gt;=C$7,"—",$B8/(C$7-$B8))</f>
        <v>0.15384615384615385</v>
      </c>
      <c r="D8" s="92">
        <f t="shared" si="0"/>
        <v>0.1111111111111111</v>
      </c>
      <c r="E8" s="92">
        <f t="shared" si="0"/>
        <v>8.6956521739130432E-2</v>
      </c>
      <c r="F8" s="92">
        <f t="shared" si="0"/>
        <v>7.1428571428571438E-2</v>
      </c>
      <c r="G8" s="92">
        <f t="shared" si="0"/>
        <v>6.0606060606060615E-2</v>
      </c>
      <c r="H8" s="92">
        <f t="shared" si="0"/>
        <v>5.2631578947368418E-2</v>
      </c>
    </row>
    <row r="9" spans="1:8" x14ac:dyDescent="0.25">
      <c r="B9" s="43">
        <v>0.03</v>
      </c>
      <c r="C9" s="92">
        <f t="shared" si="0"/>
        <v>0.25</v>
      </c>
      <c r="D9" s="92">
        <f t="shared" si="0"/>
        <v>0.1764705882352941</v>
      </c>
      <c r="E9" s="92">
        <f t="shared" si="0"/>
        <v>0.13636363636363635</v>
      </c>
      <c r="F9" s="92">
        <f t="shared" si="0"/>
        <v>0.1111111111111111</v>
      </c>
      <c r="G9" s="92">
        <f t="shared" si="0"/>
        <v>9.3750000000000014E-2</v>
      </c>
      <c r="H9" s="92">
        <f t="shared" si="0"/>
        <v>8.1081081081081086E-2</v>
      </c>
    </row>
    <row r="10" spans="1:8" x14ac:dyDescent="0.25">
      <c r="B10" s="43">
        <v>0.04</v>
      </c>
      <c r="C10" s="92">
        <f t="shared" si="0"/>
        <v>0.3636363636363637</v>
      </c>
      <c r="D10" s="92">
        <f t="shared" si="0"/>
        <v>0.25</v>
      </c>
      <c r="E10" s="92">
        <f t="shared" si="0"/>
        <v>0.19047619047619049</v>
      </c>
      <c r="F10" s="92">
        <f t="shared" si="0"/>
        <v>0.15384615384615385</v>
      </c>
      <c r="G10" s="92">
        <f t="shared" si="0"/>
        <v>0.12903225806451613</v>
      </c>
      <c r="H10" s="92">
        <f t="shared" si="0"/>
        <v>0.1111111111111111</v>
      </c>
    </row>
    <row r="11" spans="1:8" x14ac:dyDescent="0.25">
      <c r="B11" s="43">
        <v>0.05</v>
      </c>
      <c r="C11" s="92">
        <f t="shared" si="0"/>
        <v>0.50000000000000011</v>
      </c>
      <c r="D11" s="92">
        <f t="shared" si="0"/>
        <v>0.33333333333333331</v>
      </c>
      <c r="E11" s="92">
        <f t="shared" si="0"/>
        <v>0.25</v>
      </c>
      <c r="F11" s="92">
        <f t="shared" si="0"/>
        <v>0.2</v>
      </c>
      <c r="G11" s="92">
        <f t="shared" si="0"/>
        <v>0.16666666666666669</v>
      </c>
      <c r="H11" s="92">
        <f t="shared" si="0"/>
        <v>0.14285714285714285</v>
      </c>
    </row>
    <row r="12" spans="1:8" x14ac:dyDescent="0.25">
      <c r="B12" s="43">
        <v>0.06</v>
      </c>
      <c r="C12" s="92">
        <f t="shared" si="0"/>
        <v>0.66666666666666663</v>
      </c>
      <c r="D12" s="92">
        <f t="shared" si="0"/>
        <v>0.42857142857142849</v>
      </c>
      <c r="E12" s="92">
        <f t="shared" si="0"/>
        <v>0.31578947368421051</v>
      </c>
      <c r="F12" s="92">
        <f t="shared" si="0"/>
        <v>0.25</v>
      </c>
      <c r="G12" s="92">
        <f t="shared" si="0"/>
        <v>0.20689655172413793</v>
      </c>
      <c r="H12" s="92">
        <f t="shared" si="0"/>
        <v>0.1764705882352941</v>
      </c>
    </row>
    <row r="13" spans="1:8" x14ac:dyDescent="0.25">
      <c r="B13" s="43">
        <v>7.0000000000000007E-2</v>
      </c>
      <c r="C13" s="92">
        <f t="shared" si="0"/>
        <v>0.87500000000000022</v>
      </c>
      <c r="D13" s="92">
        <f t="shared" si="0"/>
        <v>0.53846153846153855</v>
      </c>
      <c r="E13" s="92">
        <f t="shared" si="0"/>
        <v>0.38888888888888895</v>
      </c>
      <c r="F13" s="92">
        <f t="shared" si="0"/>
        <v>0.3043478260869566</v>
      </c>
      <c r="G13" s="92">
        <f t="shared" si="0"/>
        <v>0.25000000000000006</v>
      </c>
      <c r="H13" s="92">
        <f t="shared" si="0"/>
        <v>0.21212121212121213</v>
      </c>
    </row>
    <row r="14" spans="1:8" x14ac:dyDescent="0.25">
      <c r="B14" s="43">
        <v>0.08</v>
      </c>
      <c r="C14" s="92">
        <f t="shared" si="0"/>
        <v>1.142857142857143</v>
      </c>
      <c r="D14" s="92">
        <f t="shared" si="0"/>
        <v>0.66666666666666663</v>
      </c>
      <c r="E14" s="93">
        <f t="shared" si="0"/>
        <v>0.4705882352941177</v>
      </c>
      <c r="F14" s="92">
        <f t="shared" si="0"/>
        <v>0.3636363636363637</v>
      </c>
      <c r="G14" s="92">
        <f t="shared" si="0"/>
        <v>0.29629629629629634</v>
      </c>
      <c r="H14" s="92">
        <f t="shared" si="0"/>
        <v>0.25</v>
      </c>
    </row>
    <row r="15" spans="1:8" x14ac:dyDescent="0.25">
      <c r="B15" s="43">
        <v>0.09</v>
      </c>
      <c r="C15" s="92">
        <f t="shared" si="0"/>
        <v>1.5</v>
      </c>
      <c r="D15" s="92">
        <f t="shared" si="0"/>
        <v>0.81818181818181801</v>
      </c>
      <c r="E15" s="92">
        <f t="shared" si="0"/>
        <v>0.5625</v>
      </c>
      <c r="F15" s="92">
        <f t="shared" si="0"/>
        <v>0.42857142857142855</v>
      </c>
      <c r="G15" s="92">
        <f t="shared" si="0"/>
        <v>0.34615384615384615</v>
      </c>
      <c r="H15" s="92">
        <f t="shared" si="0"/>
        <v>0.29032258064516125</v>
      </c>
    </row>
    <row r="16" spans="1:8" x14ac:dyDescent="0.25">
      <c r="B16" s="43">
        <v>0.1</v>
      </c>
      <c r="C16" s="92">
        <f t="shared" si="0"/>
        <v>2.0000000000000004</v>
      </c>
      <c r="D16" s="92">
        <f t="shared" si="0"/>
        <v>1</v>
      </c>
      <c r="E16" s="92">
        <f t="shared" si="0"/>
        <v>0.66666666666666674</v>
      </c>
      <c r="F16" s="92">
        <f t="shared" si="0"/>
        <v>0.50000000000000011</v>
      </c>
      <c r="G16" s="92">
        <f t="shared" si="0"/>
        <v>0.40000000000000008</v>
      </c>
      <c r="H16" s="92">
        <f t="shared" si="0"/>
        <v>0.33333333333333331</v>
      </c>
    </row>
    <row r="17" spans="2:8" x14ac:dyDescent="0.25">
      <c r="B17" s="43">
        <v>0.11</v>
      </c>
      <c r="C17" s="92">
        <f t="shared" si="0"/>
        <v>2.7500000000000004</v>
      </c>
      <c r="D17" s="92">
        <f t="shared" si="0"/>
        <v>1.2222222222222221</v>
      </c>
      <c r="E17" s="92">
        <f t="shared" si="0"/>
        <v>0.7857142857142857</v>
      </c>
      <c r="F17" s="92">
        <f t="shared" si="0"/>
        <v>0.57894736842105265</v>
      </c>
      <c r="G17" s="92">
        <f t="shared" si="0"/>
        <v>0.45833333333333337</v>
      </c>
      <c r="H17" s="92">
        <f t="shared" si="0"/>
        <v>0.37931034482758619</v>
      </c>
    </row>
    <row r="18" spans="2:8" x14ac:dyDescent="0.25">
      <c r="B18" s="43">
        <v>0.12</v>
      </c>
      <c r="C18" s="92">
        <f t="shared" si="0"/>
        <v>4</v>
      </c>
      <c r="D18" s="92">
        <f t="shared" si="0"/>
        <v>1.4999999999999996</v>
      </c>
      <c r="E18" s="92">
        <f t="shared" si="0"/>
        <v>0.92307692307692302</v>
      </c>
      <c r="F18" s="92">
        <f t="shared" si="0"/>
        <v>0.66666666666666663</v>
      </c>
      <c r="G18" s="92">
        <f t="shared" si="0"/>
        <v>0.52173913043478259</v>
      </c>
      <c r="H18" s="92">
        <f t="shared" si="0"/>
        <v>0.42857142857142849</v>
      </c>
    </row>
    <row r="19" spans="2:8" x14ac:dyDescent="0.25">
      <c r="B19" s="43">
        <v>0.13</v>
      </c>
      <c r="C19" s="92">
        <f t="shared" si="0"/>
        <v>6.5000000000000036</v>
      </c>
      <c r="D19" s="92">
        <f t="shared" si="0"/>
        <v>1.857142857142857</v>
      </c>
      <c r="E19" s="92">
        <f t="shared" si="0"/>
        <v>1.0833333333333335</v>
      </c>
      <c r="F19" s="92">
        <f t="shared" si="0"/>
        <v>0.76470588235294124</v>
      </c>
      <c r="G19" s="92">
        <f t="shared" si="0"/>
        <v>0.59090909090909105</v>
      </c>
      <c r="H19" s="92">
        <f t="shared" si="0"/>
        <v>0.48148148148148145</v>
      </c>
    </row>
    <row r="20" spans="2:8" x14ac:dyDescent="0.25">
      <c r="B20" s="43">
        <v>0.14000000000000001</v>
      </c>
      <c r="C20" s="92">
        <f t="shared" si="0"/>
        <v>14.000000000000028</v>
      </c>
      <c r="D20" s="92">
        <f t="shared" si="0"/>
        <v>2.3333333333333335</v>
      </c>
      <c r="E20" s="92">
        <f t="shared" si="0"/>
        <v>1.2727272727272729</v>
      </c>
      <c r="F20" s="92">
        <f t="shared" si="0"/>
        <v>0.87500000000000022</v>
      </c>
      <c r="G20" s="92">
        <f t="shared" si="0"/>
        <v>0.66666666666666685</v>
      </c>
      <c r="H20" s="92">
        <f t="shared" si="0"/>
        <v>0.53846153846153855</v>
      </c>
    </row>
    <row r="21" spans="2:8" x14ac:dyDescent="0.25">
      <c r="B21" s="43">
        <v>0.15</v>
      </c>
      <c r="C21" s="92" t="str">
        <f t="shared" si="0"/>
        <v>—</v>
      </c>
      <c r="D21" s="92">
        <f t="shared" si="0"/>
        <v>2.9999999999999991</v>
      </c>
      <c r="E21" s="92">
        <f t="shared" si="0"/>
        <v>1.4999999999999998</v>
      </c>
      <c r="F21" s="92">
        <f t="shared" si="0"/>
        <v>1</v>
      </c>
      <c r="G21" s="92">
        <f t="shared" si="0"/>
        <v>0.75</v>
      </c>
      <c r="H21" s="92">
        <f t="shared" si="0"/>
        <v>0.6</v>
      </c>
    </row>
    <row r="23" spans="2:8" ht="31.5" customHeight="1" x14ac:dyDescent="0.25">
      <c r="B23" s="9" t="s">
        <v>628</v>
      </c>
    </row>
    <row r="25" spans="2:8" ht="25.5" customHeight="1" x14ac:dyDescent="0.25">
      <c r="B25" s="9" t="s">
        <v>629</v>
      </c>
    </row>
  </sheetData>
  <hyperlinks>
    <hyperlink ref="B3" location="'Indice'!A1" display="◀ Volver al índice" xr:uid="{00000000-0004-0000-1B00-000000000000}"/>
  </hyperlinks>
  <pageMargins left="0.75" right="0.75" top="1" bottom="1" header="0.511811023622047" footer="0.511811023622047"/>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F1F4B"/>
  </sheetPr>
  <dimension ref="A1:H30"/>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2"/>
      <c r="B1" s="36" t="s">
        <v>630</v>
      </c>
      <c r="C1" s="2"/>
      <c r="D1" s="2"/>
      <c r="E1" s="2"/>
      <c r="F1" s="2"/>
      <c r="G1" s="2"/>
      <c r="H1" s="2"/>
    </row>
    <row r="2" spans="1:8" x14ac:dyDescent="0.25">
      <c r="B2" s="3" t="s">
        <v>631</v>
      </c>
    </row>
    <row r="3" spans="1:8" x14ac:dyDescent="0.25">
      <c r="B3" s="37" t="s">
        <v>124</v>
      </c>
      <c r="E3" s="38" t="s">
        <v>632</v>
      </c>
    </row>
    <row r="4" spans="1:8" x14ac:dyDescent="0.25">
      <c r="B4" s="39" t="s">
        <v>126</v>
      </c>
    </row>
    <row r="6" spans="1:8" x14ac:dyDescent="0.25">
      <c r="B6" s="91" t="s">
        <v>633</v>
      </c>
      <c r="C6" s="30"/>
      <c r="D6" s="30"/>
      <c r="E6" s="30"/>
      <c r="F6" s="30"/>
      <c r="G6" s="30"/>
      <c r="H6" s="30"/>
    </row>
    <row r="7" spans="1:8" ht="24" x14ac:dyDescent="0.25">
      <c r="B7" s="45" t="s">
        <v>138</v>
      </c>
      <c r="C7" s="45" t="s">
        <v>634</v>
      </c>
      <c r="D7" s="45" t="s">
        <v>635</v>
      </c>
    </row>
    <row r="8" spans="1:8" ht="25.5" x14ac:dyDescent="0.25">
      <c r="B8" s="46" t="s">
        <v>164</v>
      </c>
      <c r="C8" s="46" t="s">
        <v>636</v>
      </c>
      <c r="D8" s="46" t="s">
        <v>637</v>
      </c>
    </row>
    <row r="9" spans="1:8" ht="25.5" x14ac:dyDescent="0.25">
      <c r="B9" s="48" t="s">
        <v>638</v>
      </c>
      <c r="C9" s="48" t="s">
        <v>639</v>
      </c>
      <c r="D9" s="48" t="s">
        <v>640</v>
      </c>
    </row>
    <row r="10" spans="1:8" ht="25.5" x14ac:dyDescent="0.25">
      <c r="B10" s="46" t="s">
        <v>641</v>
      </c>
      <c r="C10" s="46" t="s">
        <v>642</v>
      </c>
      <c r="D10" s="46" t="s">
        <v>643</v>
      </c>
    </row>
    <row r="11" spans="1:8" ht="25.5" x14ac:dyDescent="0.25">
      <c r="B11" s="48" t="s">
        <v>644</v>
      </c>
      <c r="C11" s="48" t="s">
        <v>645</v>
      </c>
      <c r="D11" s="48" t="s">
        <v>646</v>
      </c>
    </row>
    <row r="12" spans="1:8" ht="25.5" x14ac:dyDescent="0.25">
      <c r="B12" s="46" t="s">
        <v>647</v>
      </c>
      <c r="C12" s="46" t="s">
        <v>648</v>
      </c>
      <c r="D12" s="46" t="s">
        <v>649</v>
      </c>
    </row>
    <row r="13" spans="1:8" ht="25.5" x14ac:dyDescent="0.25">
      <c r="B13" s="48" t="s">
        <v>650</v>
      </c>
      <c r="C13" s="48" t="s">
        <v>651</v>
      </c>
      <c r="D13" s="48" t="s">
        <v>652</v>
      </c>
    </row>
    <row r="14" spans="1:8" ht="25.5" x14ac:dyDescent="0.25">
      <c r="B14" s="46" t="s">
        <v>653</v>
      </c>
      <c r="C14" s="46" t="s">
        <v>654</v>
      </c>
      <c r="D14" s="46" t="s">
        <v>655</v>
      </c>
    </row>
    <row r="15" spans="1:8" ht="38.25" x14ac:dyDescent="0.25">
      <c r="B15" s="48" t="s">
        <v>656</v>
      </c>
      <c r="C15" s="48" t="s">
        <v>657</v>
      </c>
      <c r="D15" s="48" t="s">
        <v>658</v>
      </c>
    </row>
    <row r="16" spans="1:8" ht="63.75" x14ac:dyDescent="0.25">
      <c r="B16" s="46" t="s">
        <v>659</v>
      </c>
      <c r="C16" s="46" t="s">
        <v>660</v>
      </c>
      <c r="D16" s="46" t="s">
        <v>661</v>
      </c>
    </row>
    <row r="17" spans="2:8" ht="51" x14ac:dyDescent="0.25">
      <c r="B17" s="48" t="s">
        <v>662</v>
      </c>
      <c r="C17" s="48" t="s">
        <v>663</v>
      </c>
      <c r="D17" s="48" t="s">
        <v>664</v>
      </c>
    </row>
    <row r="19" spans="2:8" x14ac:dyDescent="0.25">
      <c r="B19" s="91" t="s">
        <v>665</v>
      </c>
      <c r="C19" s="30"/>
      <c r="D19" s="30"/>
      <c r="E19" s="30"/>
      <c r="F19" s="30"/>
      <c r="G19" s="30"/>
      <c r="H19" s="30"/>
    </row>
    <row r="20" spans="2:8" x14ac:dyDescent="0.25">
      <c r="B20" s="41" t="s">
        <v>162</v>
      </c>
      <c r="C20" s="42">
        <v>28500</v>
      </c>
    </row>
    <row r="21" spans="2:8" x14ac:dyDescent="0.25">
      <c r="B21" s="41" t="s">
        <v>163</v>
      </c>
      <c r="C21" s="42">
        <v>38000</v>
      </c>
    </row>
    <row r="22" spans="2:8" x14ac:dyDescent="0.25">
      <c r="B22" s="41" t="s">
        <v>666</v>
      </c>
      <c r="C22" s="43">
        <v>0.25</v>
      </c>
    </row>
    <row r="23" spans="2:8" x14ac:dyDescent="0.25">
      <c r="B23" s="41" t="s">
        <v>667</v>
      </c>
      <c r="C23" s="74">
        <f>(C21-C20)/C21</f>
        <v>0.25</v>
      </c>
    </row>
    <row r="24" spans="2:8" x14ac:dyDescent="0.25">
      <c r="B24" s="41" t="s">
        <v>668</v>
      </c>
      <c r="C24" s="74">
        <f>(C21-C20)/C20</f>
        <v>0.33333333333333331</v>
      </c>
    </row>
    <row r="25" spans="2:8" x14ac:dyDescent="0.25">
      <c r="B25" s="41" t="s">
        <v>669</v>
      </c>
      <c r="C25" s="50">
        <f>C20/(1-C22)</f>
        <v>38000</v>
      </c>
    </row>
    <row r="26" spans="2:8" x14ac:dyDescent="0.25">
      <c r="B26" s="41" t="s">
        <v>670</v>
      </c>
      <c r="C26" s="64">
        <f>C20*(1+C22)</f>
        <v>35625</v>
      </c>
    </row>
    <row r="27" spans="2:8" x14ac:dyDescent="0.25">
      <c r="B27" s="41" t="s">
        <v>671</v>
      </c>
      <c r="C27" s="53">
        <f>(C26-C20)/C26</f>
        <v>0.2</v>
      </c>
    </row>
    <row r="28" spans="2:8" x14ac:dyDescent="0.25">
      <c r="B28" s="41" t="s">
        <v>672</v>
      </c>
      <c r="C28" s="53">
        <f>1-(1-0.05)*(1-0.05)</f>
        <v>9.7500000000000031E-2</v>
      </c>
    </row>
    <row r="30" spans="2:8" ht="24" customHeight="1" x14ac:dyDescent="0.25">
      <c r="B30" s="9" t="s">
        <v>673</v>
      </c>
    </row>
  </sheetData>
  <hyperlinks>
    <hyperlink ref="B3" location="'Indice'!A1" display="◀ Volver al índice" xr:uid="{00000000-0004-0000-1C00-000000000000}"/>
  </hyperlink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E9E4F"/>
  </sheetPr>
  <dimension ref="A1:H32"/>
  <sheetViews>
    <sheetView showGridLines="0" zoomScaleNormal="100" workbookViewId="0">
      <selection activeCell="C6" sqref="C6"/>
    </sheetView>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35"/>
      <c r="B1" s="36" t="s">
        <v>153</v>
      </c>
      <c r="C1" s="2"/>
      <c r="D1" s="2"/>
      <c r="E1" s="2"/>
      <c r="F1" s="2"/>
      <c r="G1" s="2"/>
      <c r="H1" s="2"/>
    </row>
    <row r="2" spans="1:8" x14ac:dyDescent="0.25">
      <c r="B2" s="3" t="s">
        <v>16</v>
      </c>
    </row>
    <row r="3" spans="1:8" x14ac:dyDescent="0.25">
      <c r="B3" s="37" t="s">
        <v>124</v>
      </c>
      <c r="E3" s="38" t="s">
        <v>154</v>
      </c>
    </row>
    <row r="4" spans="1:8" x14ac:dyDescent="0.25">
      <c r="B4" s="39" t="s">
        <v>126</v>
      </c>
    </row>
    <row r="6" spans="1:8" x14ac:dyDescent="0.25">
      <c r="B6" s="41" t="s">
        <v>155</v>
      </c>
      <c r="C6" s="43">
        <v>0.25</v>
      </c>
    </row>
    <row r="8" spans="1:8" x14ac:dyDescent="0.25">
      <c r="B8" s="40" t="s">
        <v>156</v>
      </c>
      <c r="C8" s="11"/>
      <c r="D8" s="11"/>
      <c r="E8" s="11"/>
      <c r="F8" s="11"/>
      <c r="G8" s="11"/>
      <c r="H8" s="11"/>
    </row>
    <row r="9" spans="1:8" ht="36" x14ac:dyDescent="0.25">
      <c r="B9" s="45" t="s">
        <v>157</v>
      </c>
      <c r="C9" s="45" t="s">
        <v>158</v>
      </c>
    </row>
    <row r="10" spans="1:8" x14ac:dyDescent="0.25">
      <c r="B10" s="56">
        <v>0.03</v>
      </c>
      <c r="C10" s="57">
        <f t="shared" ref="C10:C17" si="0">IF(B10&gt;=C$6,"—",B10/(C$6-B10))</f>
        <v>0.13636363636363635</v>
      </c>
    </row>
    <row r="11" spans="1:8" x14ac:dyDescent="0.25">
      <c r="B11" s="56">
        <v>0.04</v>
      </c>
      <c r="C11" s="57">
        <f t="shared" si="0"/>
        <v>0.19047619047619049</v>
      </c>
    </row>
    <row r="12" spans="1:8" x14ac:dyDescent="0.25">
      <c r="B12" s="56">
        <v>0.05</v>
      </c>
      <c r="C12" s="57">
        <f t="shared" si="0"/>
        <v>0.25</v>
      </c>
    </row>
    <row r="13" spans="1:8" x14ac:dyDescent="0.25">
      <c r="B13" s="56">
        <v>0.06</v>
      </c>
      <c r="C13" s="57">
        <f t="shared" si="0"/>
        <v>0.31578947368421051</v>
      </c>
    </row>
    <row r="14" spans="1:8" x14ac:dyDescent="0.25">
      <c r="B14" s="56">
        <v>0.08</v>
      </c>
      <c r="C14" s="57">
        <f t="shared" si="0"/>
        <v>0.4705882352941177</v>
      </c>
    </row>
    <row r="15" spans="1:8" x14ac:dyDescent="0.25">
      <c r="B15" s="56">
        <v>0.1</v>
      </c>
      <c r="C15" s="57">
        <f t="shared" si="0"/>
        <v>0.66666666666666674</v>
      </c>
    </row>
    <row r="16" spans="1:8" x14ac:dyDescent="0.25">
      <c r="B16" s="56">
        <v>0.12</v>
      </c>
      <c r="C16" s="57">
        <f t="shared" si="0"/>
        <v>0.92307692307692302</v>
      </c>
    </row>
    <row r="17" spans="2:8" x14ac:dyDescent="0.25">
      <c r="B17" s="56">
        <v>0.15</v>
      </c>
      <c r="C17" s="57">
        <f t="shared" si="0"/>
        <v>1.4999999999999998</v>
      </c>
    </row>
    <row r="18" spans="2:8" ht="24" customHeight="1" x14ac:dyDescent="0.25">
      <c r="B18" s="9" t="s">
        <v>159</v>
      </c>
    </row>
    <row r="20" spans="2:8" x14ac:dyDescent="0.25">
      <c r="B20" s="40" t="s">
        <v>160</v>
      </c>
      <c r="C20" s="11"/>
      <c r="D20" s="11"/>
      <c r="E20" s="11"/>
      <c r="F20" s="11"/>
      <c r="G20" s="11"/>
      <c r="H20" s="11"/>
    </row>
    <row r="21" spans="2:8" x14ac:dyDescent="0.25">
      <c r="B21" s="45" t="s">
        <v>161</v>
      </c>
      <c r="C21" s="45" t="s">
        <v>162</v>
      </c>
      <c r="D21" s="45" t="s">
        <v>163</v>
      </c>
      <c r="E21" s="45" t="s">
        <v>164</v>
      </c>
      <c r="F21" s="45" t="s">
        <v>165</v>
      </c>
    </row>
    <row r="22" spans="2:8" x14ac:dyDescent="0.25">
      <c r="B22" s="58" t="s">
        <v>166</v>
      </c>
      <c r="C22" s="59">
        <v>18000</v>
      </c>
      <c r="D22" s="59">
        <v>24000</v>
      </c>
      <c r="E22" s="60">
        <f>IF(D22=0,"",(D22-C22)/D22)</f>
        <v>0.25</v>
      </c>
      <c r="F22" s="57">
        <f>IF(E22="","",IF(0.05&gt;=E22,"—",0.05/(E22-0.05)))</f>
        <v>0.25</v>
      </c>
    </row>
    <row r="23" spans="2:8" x14ac:dyDescent="0.25">
      <c r="B23" s="58" t="s">
        <v>167</v>
      </c>
      <c r="C23" s="59">
        <v>28500</v>
      </c>
      <c r="D23" s="59">
        <v>38000</v>
      </c>
      <c r="E23" s="60">
        <f>IF(D23=0,"",(D23-C23)/D23)</f>
        <v>0.25</v>
      </c>
      <c r="F23" s="57">
        <f>IF(E23="","",IF(0.05&gt;=E23,"—",0.05/(E23-0.05)))</f>
        <v>0.25</v>
      </c>
    </row>
    <row r="24" spans="2:8" x14ac:dyDescent="0.25">
      <c r="B24" s="58" t="s">
        <v>168</v>
      </c>
      <c r="C24" s="59">
        <v>2625</v>
      </c>
      <c r="D24" s="59">
        <v>3500</v>
      </c>
      <c r="E24" s="60">
        <f>IF(D24=0,"",(D24-C24)/D24)</f>
        <v>0.25</v>
      </c>
      <c r="F24" s="57">
        <f>IF(E24="","",IF(0.05&gt;=E24,"—",0.05/(E24-0.05)))</f>
        <v>0.25</v>
      </c>
    </row>
    <row r="25" spans="2:8" x14ac:dyDescent="0.25">
      <c r="B25" s="58" t="s">
        <v>169</v>
      </c>
      <c r="C25" s="59">
        <v>1813</v>
      </c>
      <c r="D25" s="59">
        <v>2267</v>
      </c>
      <c r="E25" s="60">
        <f>IF(D25=0,"",(D25-C25)/D25)</f>
        <v>0.20026466696074108</v>
      </c>
      <c r="F25" s="57">
        <f>IF(E25="","",IF(0.05&gt;=E25,"—",0.05/(E25-0.05)))</f>
        <v>0.33274622046088359</v>
      </c>
    </row>
    <row r="26" spans="2:8" x14ac:dyDescent="0.25">
      <c r="B26" s="58" t="s">
        <v>170</v>
      </c>
      <c r="C26" s="59">
        <v>75000</v>
      </c>
      <c r="D26" s="59">
        <v>95000</v>
      </c>
      <c r="E26" s="60">
        <f>IF(D26=0,"",(D26-C26)/D26)</f>
        <v>0.21052631578947367</v>
      </c>
      <c r="F26" s="57">
        <f>IF(E26="","",IF(0.05&gt;=E26,"—",0.05/(E26-0.05)))</f>
        <v>0.31147540983606559</v>
      </c>
    </row>
    <row r="28" spans="2:8" ht="25.5" x14ac:dyDescent="0.25">
      <c r="B28" s="41" t="s">
        <v>171</v>
      </c>
      <c r="F28" s="43"/>
    </row>
    <row r="30" spans="2:8" ht="30" customHeight="1" x14ac:dyDescent="0.25">
      <c r="B30" s="54" t="s">
        <v>172</v>
      </c>
      <c r="C30" s="55"/>
      <c r="D30" s="55"/>
      <c r="E30" s="55"/>
      <c r="F30" s="55"/>
      <c r="G30" s="55"/>
      <c r="H30" s="55"/>
    </row>
    <row r="32" spans="2:8" ht="21.75" customHeight="1" x14ac:dyDescent="0.25">
      <c r="B32" s="9" t="s">
        <v>173</v>
      </c>
    </row>
  </sheetData>
  <hyperlinks>
    <hyperlink ref="B3" location="'Indice'!A1" display="◀ Volver al índice" xr:uid="{00000000-0004-0000-0200-000000000000}"/>
  </hyperlinks>
  <pageMargins left="0.75" right="0.75" top="1" bottom="1" header="0.511811023622047" footer="0.511811023622047"/>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F1F4B"/>
  </sheetPr>
  <dimension ref="A1:H21"/>
  <sheetViews>
    <sheetView showGridLines="0" zoomScaleNormal="100" workbookViewId="0"/>
  </sheetViews>
  <sheetFormatPr baseColWidth="10" defaultColWidth="8.7109375" defaultRowHeight="15" x14ac:dyDescent="0.25"/>
  <cols>
    <col min="1" max="1" width="2.42578125" customWidth="1"/>
    <col min="2" max="2" width="30" customWidth="1"/>
    <col min="3" max="3" width="60" customWidth="1"/>
    <col min="4" max="8" width="14" customWidth="1"/>
  </cols>
  <sheetData>
    <row r="1" spans="1:8" ht="27" customHeight="1" x14ac:dyDescent="0.25">
      <c r="A1" s="2"/>
      <c r="B1" s="36" t="s">
        <v>674</v>
      </c>
      <c r="C1" s="2"/>
      <c r="D1" s="2"/>
      <c r="E1" s="2"/>
      <c r="F1" s="2"/>
      <c r="G1" s="2"/>
      <c r="H1" s="2"/>
    </row>
    <row r="2" spans="1:8" x14ac:dyDescent="0.25">
      <c r="B2" s="3" t="s">
        <v>103</v>
      </c>
    </row>
    <row r="3" spans="1:8" x14ac:dyDescent="0.25">
      <c r="B3" s="37" t="s">
        <v>124</v>
      </c>
      <c r="E3" s="38" t="s">
        <v>675</v>
      </c>
    </row>
    <row r="4" spans="1:8" x14ac:dyDescent="0.25">
      <c r="B4" s="39" t="s">
        <v>126</v>
      </c>
    </row>
    <row r="6" spans="1:8" x14ac:dyDescent="0.25">
      <c r="B6" s="91" t="s">
        <v>676</v>
      </c>
      <c r="C6" s="30"/>
      <c r="D6" s="30"/>
      <c r="E6" s="30"/>
      <c r="F6" s="30"/>
      <c r="G6" s="30"/>
      <c r="H6" s="30"/>
    </row>
    <row r="7" spans="1:8" x14ac:dyDescent="0.25">
      <c r="B7" s="45" t="s">
        <v>677</v>
      </c>
      <c r="C7" s="45" t="s">
        <v>678</v>
      </c>
    </row>
    <row r="8" spans="1:8" ht="38.25" x14ac:dyDescent="0.25">
      <c r="B8" s="46" t="s">
        <v>679</v>
      </c>
      <c r="C8" s="46" t="s">
        <v>680</v>
      </c>
    </row>
    <row r="9" spans="1:8" ht="38.25" x14ac:dyDescent="0.25">
      <c r="B9" s="48" t="s">
        <v>681</v>
      </c>
      <c r="C9" s="48" t="s">
        <v>682</v>
      </c>
    </row>
    <row r="10" spans="1:8" ht="25.5" x14ac:dyDescent="0.25">
      <c r="B10" s="46" t="s">
        <v>683</v>
      </c>
      <c r="C10" s="46" t="s">
        <v>684</v>
      </c>
    </row>
    <row r="11" spans="1:8" ht="25.5" x14ac:dyDescent="0.25">
      <c r="B11" s="48" t="s">
        <v>685</v>
      </c>
      <c r="C11" s="48" t="s">
        <v>686</v>
      </c>
    </row>
    <row r="12" spans="1:8" ht="25.5" x14ac:dyDescent="0.25">
      <c r="B12" s="46" t="s">
        <v>687</v>
      </c>
      <c r="C12" s="46" t="s">
        <v>688</v>
      </c>
    </row>
    <row r="13" spans="1:8" ht="25.5" x14ac:dyDescent="0.25">
      <c r="B13" s="48" t="s">
        <v>689</v>
      </c>
      <c r="C13" s="48" t="s">
        <v>690</v>
      </c>
    </row>
    <row r="14" spans="1:8" ht="25.5" x14ac:dyDescent="0.25">
      <c r="B14" s="46" t="s">
        <v>691</v>
      </c>
      <c r="C14" s="46" t="s">
        <v>692</v>
      </c>
    </row>
    <row r="16" spans="1:8" x14ac:dyDescent="0.25">
      <c r="B16" s="91" t="s">
        <v>693</v>
      </c>
      <c r="C16" s="30"/>
      <c r="D16" s="30"/>
      <c r="E16" s="30"/>
      <c r="F16" s="30"/>
      <c r="G16" s="30"/>
      <c r="H16" s="30"/>
    </row>
    <row r="17" spans="2:3" ht="25.5" x14ac:dyDescent="0.25">
      <c r="B17" s="41" t="s">
        <v>694</v>
      </c>
      <c r="C17" s="42">
        <v>10000000</v>
      </c>
    </row>
    <row r="18" spans="2:3" x14ac:dyDescent="0.25">
      <c r="B18" s="41" t="s">
        <v>695</v>
      </c>
      <c r="C18" s="43">
        <v>0.08</v>
      </c>
    </row>
    <row r="19" spans="2:3" ht="25.5" x14ac:dyDescent="0.25">
      <c r="B19" s="41" t="s">
        <v>696</v>
      </c>
      <c r="C19" s="50">
        <f>C17*12*C18</f>
        <v>9600000</v>
      </c>
    </row>
    <row r="21" spans="2:3" ht="31.5" customHeight="1" x14ac:dyDescent="0.25">
      <c r="B21" s="9" t="s">
        <v>697</v>
      </c>
    </row>
  </sheetData>
  <hyperlinks>
    <hyperlink ref="B3" location="'Indice'!A1" display="◀ Volver al índice" xr:uid="{00000000-0004-0000-1D00-000000000000}"/>
  </hyperlinks>
  <pageMargins left="0.75" right="0.75" top="1" bottom="1" header="0.511811023622047" footer="0.511811023622047"/>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F1F4B"/>
  </sheetPr>
  <dimension ref="A1:H25"/>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2"/>
      <c r="B1" s="36" t="s">
        <v>698</v>
      </c>
      <c r="C1" s="2"/>
      <c r="D1" s="2"/>
      <c r="E1" s="2"/>
      <c r="F1" s="2"/>
      <c r="G1" s="2"/>
      <c r="H1" s="2"/>
    </row>
    <row r="2" spans="1:8" x14ac:dyDescent="0.25">
      <c r="B2" s="3" t="s">
        <v>699</v>
      </c>
    </row>
    <row r="3" spans="1:8" x14ac:dyDescent="0.25">
      <c r="B3" s="37" t="s">
        <v>124</v>
      </c>
      <c r="E3" s="38" t="s">
        <v>700</v>
      </c>
    </row>
    <row r="4" spans="1:8" x14ac:dyDescent="0.25">
      <c r="B4" s="39" t="s">
        <v>126</v>
      </c>
    </row>
    <row r="6" spans="1:8" x14ac:dyDescent="0.25">
      <c r="B6" s="91" t="s">
        <v>701</v>
      </c>
      <c r="C6" s="30"/>
      <c r="D6" s="30"/>
      <c r="E6" s="30"/>
      <c r="F6" s="30"/>
      <c r="G6" s="30"/>
      <c r="H6" s="30"/>
    </row>
    <row r="7" spans="1:8" ht="24" x14ac:dyDescent="0.25">
      <c r="B7" s="45" t="s">
        <v>161</v>
      </c>
      <c r="C7" s="45" t="s">
        <v>702</v>
      </c>
      <c r="D7" s="45" t="s">
        <v>703</v>
      </c>
      <c r="E7" s="45" t="s">
        <v>704</v>
      </c>
      <c r="F7" s="45" t="s">
        <v>705</v>
      </c>
      <c r="G7" s="45" t="s">
        <v>706</v>
      </c>
    </row>
    <row r="8" spans="1:8" x14ac:dyDescent="0.25">
      <c r="B8" s="58" t="s">
        <v>166</v>
      </c>
      <c r="C8" s="59">
        <v>18000</v>
      </c>
      <c r="D8" s="59">
        <v>24000</v>
      </c>
      <c r="E8" s="60">
        <f>(D8-C8)/D8</f>
        <v>0.25</v>
      </c>
      <c r="F8" s="59">
        <v>30000</v>
      </c>
      <c r="G8" s="60">
        <f>(F8-D8)/F8</f>
        <v>0.2</v>
      </c>
    </row>
    <row r="9" spans="1:8" x14ac:dyDescent="0.25">
      <c r="B9" s="58" t="s">
        <v>167</v>
      </c>
      <c r="C9" s="59">
        <v>28500</v>
      </c>
      <c r="D9" s="59">
        <v>38000</v>
      </c>
      <c r="E9" s="60">
        <f>(D9-C9)/D9</f>
        <v>0.25</v>
      </c>
      <c r="F9" s="59">
        <v>47500</v>
      </c>
      <c r="G9" s="60">
        <f>(F9-D9)/F9</f>
        <v>0.2</v>
      </c>
    </row>
    <row r="10" spans="1:8" x14ac:dyDescent="0.25">
      <c r="B10" s="58" t="s">
        <v>168</v>
      </c>
      <c r="C10" s="59">
        <v>2625</v>
      </c>
      <c r="D10" s="59">
        <v>3500</v>
      </c>
      <c r="E10" s="60">
        <f>(D10-C10)/D10</f>
        <v>0.25</v>
      </c>
      <c r="F10" s="59">
        <v>5000</v>
      </c>
      <c r="G10" s="60">
        <f>(F10-D10)/F10</f>
        <v>0.3</v>
      </c>
    </row>
    <row r="11" spans="1:8" x14ac:dyDescent="0.25">
      <c r="B11" s="58" t="s">
        <v>169</v>
      </c>
      <c r="C11" s="59">
        <v>1813</v>
      </c>
      <c r="D11" s="59">
        <v>2267</v>
      </c>
      <c r="E11" s="60">
        <f>(D11-C11)/D11</f>
        <v>0.20026466696074108</v>
      </c>
      <c r="F11" s="59">
        <v>3000</v>
      </c>
      <c r="G11" s="60">
        <f>(F11-D11)/F11</f>
        <v>0.24433333333333335</v>
      </c>
    </row>
    <row r="12" spans="1:8" x14ac:dyDescent="0.25">
      <c r="B12" s="58" t="s">
        <v>170</v>
      </c>
      <c r="C12" s="59">
        <v>75000</v>
      </c>
      <c r="D12" s="59">
        <v>95000</v>
      </c>
      <c r="E12" s="60">
        <f>(D12-C12)/D12</f>
        <v>0.21052631578947367</v>
      </c>
      <c r="F12" s="59">
        <v>120000</v>
      </c>
      <c r="G12" s="60">
        <f>(F12-D12)/F12</f>
        <v>0.20833333333333334</v>
      </c>
    </row>
    <row r="13" spans="1:8" ht="30" customHeight="1" x14ac:dyDescent="0.25">
      <c r="B13" s="9" t="s">
        <v>707</v>
      </c>
    </row>
    <row r="15" spans="1:8" x14ac:dyDescent="0.25">
      <c r="B15" s="91" t="s">
        <v>708</v>
      </c>
      <c r="C15" s="30"/>
      <c r="D15" s="30"/>
      <c r="E15" s="30"/>
      <c r="F15" s="30"/>
      <c r="G15" s="30"/>
      <c r="H15" s="30"/>
    </row>
    <row r="16" spans="1:8" x14ac:dyDescent="0.25">
      <c r="B16" s="94"/>
      <c r="C16" s="94" t="s">
        <v>709</v>
      </c>
      <c r="D16" s="94" t="s">
        <v>710</v>
      </c>
    </row>
    <row r="17" spans="2:4" x14ac:dyDescent="0.25">
      <c r="B17" s="41" t="s">
        <v>711</v>
      </c>
      <c r="C17" s="6">
        <v>40</v>
      </c>
      <c r="D17" s="6">
        <v>20</v>
      </c>
    </row>
    <row r="18" spans="2:4" x14ac:dyDescent="0.25">
      <c r="B18" s="41" t="s">
        <v>712</v>
      </c>
      <c r="C18" s="42">
        <v>24000</v>
      </c>
      <c r="D18" s="42">
        <v>95000</v>
      </c>
    </row>
    <row r="19" spans="2:4" x14ac:dyDescent="0.25">
      <c r="B19" s="41" t="s">
        <v>713</v>
      </c>
      <c r="C19" s="6">
        <v>15</v>
      </c>
      <c r="D19" s="6">
        <v>2</v>
      </c>
    </row>
    <row r="20" spans="2:4" x14ac:dyDescent="0.25">
      <c r="B20" s="41" t="s">
        <v>714</v>
      </c>
      <c r="C20" s="42">
        <v>6000</v>
      </c>
      <c r="D20" s="42">
        <v>25000</v>
      </c>
    </row>
    <row r="21" spans="2:4" x14ac:dyDescent="0.25">
      <c r="B21" s="41" t="s">
        <v>715</v>
      </c>
      <c r="C21" s="52">
        <f>C17*C18</f>
        <v>960000</v>
      </c>
      <c r="D21" s="52">
        <f>D17*D18</f>
        <v>1900000</v>
      </c>
    </row>
    <row r="22" spans="2:4" x14ac:dyDescent="0.25">
      <c r="B22" s="41" t="s">
        <v>716</v>
      </c>
      <c r="C22" s="52">
        <f>C19*52*C20</f>
        <v>4680000</v>
      </c>
      <c r="D22" s="52">
        <f>D19*52*D20</f>
        <v>2600000</v>
      </c>
    </row>
    <row r="23" spans="2:4" x14ac:dyDescent="0.25">
      <c r="B23" s="41" t="s">
        <v>717</v>
      </c>
      <c r="C23" s="95">
        <f>C22/C21</f>
        <v>4.875</v>
      </c>
      <c r="D23" s="69">
        <f>D22/D21</f>
        <v>1.368421052631579</v>
      </c>
    </row>
    <row r="25" spans="2:4" ht="30" customHeight="1" x14ac:dyDescent="0.25">
      <c r="B25" s="9" t="s">
        <v>718</v>
      </c>
    </row>
  </sheetData>
  <hyperlinks>
    <hyperlink ref="B3" location="'Indice'!A1" display="◀ Volver al índice" xr:uid="{00000000-0004-0000-1E00-000000000000}"/>
  </hyperlinks>
  <pageMargins left="0.75" right="0.75" top="1" bottom="1" header="0.511811023622047" footer="0.511811023622047"/>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F1F4B"/>
  </sheetPr>
  <dimension ref="A1:H27"/>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2"/>
      <c r="B1" s="36" t="s">
        <v>719</v>
      </c>
      <c r="C1" s="2"/>
      <c r="D1" s="2"/>
      <c r="E1" s="2"/>
      <c r="F1" s="2"/>
      <c r="G1" s="2"/>
      <c r="H1" s="2"/>
    </row>
    <row r="2" spans="1:8" x14ac:dyDescent="0.25">
      <c r="B2" s="3" t="s">
        <v>109</v>
      </c>
    </row>
    <row r="3" spans="1:8" x14ac:dyDescent="0.25">
      <c r="B3" s="37" t="s">
        <v>124</v>
      </c>
      <c r="E3" s="38" t="s">
        <v>720</v>
      </c>
    </row>
    <row r="4" spans="1:8" x14ac:dyDescent="0.25">
      <c r="B4" s="39" t="s">
        <v>126</v>
      </c>
    </row>
    <row r="6" spans="1:8" x14ac:dyDescent="0.25">
      <c r="B6" s="91" t="s">
        <v>721</v>
      </c>
      <c r="C6" s="30"/>
      <c r="D6" s="30"/>
      <c r="E6" s="30"/>
      <c r="F6" s="30"/>
      <c r="G6" s="30"/>
      <c r="H6" s="30"/>
    </row>
    <row r="7" spans="1:8" ht="24" x14ac:dyDescent="0.25">
      <c r="B7" s="45" t="s">
        <v>722</v>
      </c>
      <c r="C7" s="45" t="s">
        <v>723</v>
      </c>
      <c r="D7" s="45" t="s">
        <v>724</v>
      </c>
    </row>
    <row r="8" spans="1:8" ht="38.25" x14ac:dyDescent="0.25">
      <c r="B8" s="46" t="s">
        <v>725</v>
      </c>
      <c r="C8" s="46" t="s">
        <v>726</v>
      </c>
      <c r="D8" s="46" t="s">
        <v>727</v>
      </c>
    </row>
    <row r="9" spans="1:8" ht="38.25" x14ac:dyDescent="0.25">
      <c r="B9" s="48" t="s">
        <v>728</v>
      </c>
      <c r="C9" s="48" t="s">
        <v>729</v>
      </c>
      <c r="D9" s="48" t="s">
        <v>730</v>
      </c>
    </row>
    <row r="10" spans="1:8" ht="25.5" x14ac:dyDescent="0.25">
      <c r="B10" s="46" t="s">
        <v>731</v>
      </c>
      <c r="C10" s="46" t="s">
        <v>732</v>
      </c>
      <c r="D10" s="46" t="s">
        <v>733</v>
      </c>
    </row>
    <row r="11" spans="1:8" ht="38.25" x14ac:dyDescent="0.25">
      <c r="B11" s="48" t="s">
        <v>734</v>
      </c>
      <c r="C11" s="48" t="s">
        <v>735</v>
      </c>
      <c r="D11" s="48" t="s">
        <v>736</v>
      </c>
    </row>
    <row r="12" spans="1:8" ht="51" x14ac:dyDescent="0.25">
      <c r="B12" s="46" t="s">
        <v>737</v>
      </c>
      <c r="C12" s="46" t="s">
        <v>738</v>
      </c>
      <c r="D12" s="46" t="s">
        <v>739</v>
      </c>
    </row>
    <row r="13" spans="1:8" ht="25.5" x14ac:dyDescent="0.25">
      <c r="B13" s="48" t="s">
        <v>740</v>
      </c>
      <c r="C13" s="48" t="s">
        <v>741</v>
      </c>
      <c r="D13" s="48" t="s">
        <v>742</v>
      </c>
    </row>
    <row r="14" spans="1:8" ht="38.25" x14ac:dyDescent="0.25">
      <c r="B14" s="46" t="s">
        <v>743</v>
      </c>
      <c r="C14" s="46" t="s">
        <v>744</v>
      </c>
      <c r="D14" s="46" t="s">
        <v>745</v>
      </c>
    </row>
    <row r="15" spans="1:8" ht="38.25" x14ac:dyDescent="0.25">
      <c r="B15" s="48" t="s">
        <v>746</v>
      </c>
      <c r="C15" s="48" t="s">
        <v>747</v>
      </c>
      <c r="D15" s="48" t="s">
        <v>748</v>
      </c>
    </row>
    <row r="16" spans="1:8" ht="38.25" x14ac:dyDescent="0.25">
      <c r="B16" s="46" t="s">
        <v>749</v>
      </c>
      <c r="C16" s="46" t="s">
        <v>750</v>
      </c>
      <c r="D16" s="46" t="s">
        <v>751</v>
      </c>
    </row>
    <row r="18" spans="2:8" x14ac:dyDescent="0.25">
      <c r="B18" s="91" t="s">
        <v>752</v>
      </c>
      <c r="C18" s="30"/>
      <c r="D18" s="30"/>
      <c r="E18" s="30"/>
      <c r="F18" s="30"/>
      <c r="G18" s="30"/>
      <c r="H18" s="30"/>
    </row>
    <row r="19" spans="2:8" x14ac:dyDescent="0.25">
      <c r="B19" s="41" t="s">
        <v>753</v>
      </c>
      <c r="C19" s="44">
        <v>7.6999999999999999E-2</v>
      </c>
    </row>
    <row r="20" spans="2:8" x14ac:dyDescent="0.25">
      <c r="B20" s="41" t="s">
        <v>754</v>
      </c>
      <c r="C20" s="86">
        <f>0.01/C19</f>
        <v>0.12987012987012989</v>
      </c>
    </row>
    <row r="21" spans="2:8" ht="25.5" x14ac:dyDescent="0.25">
      <c r="B21" s="96" t="s">
        <v>755</v>
      </c>
    </row>
    <row r="22" spans="2:8" ht="25.5" x14ac:dyDescent="0.25">
      <c r="B22" s="41" t="s">
        <v>756</v>
      </c>
      <c r="C22" s="52">
        <f>1000000*((1+0.22)^(30/365)-1)</f>
        <v>16478.198455615267</v>
      </c>
    </row>
    <row r="23" spans="2:8" x14ac:dyDescent="0.25">
      <c r="B23" s="41" t="s">
        <v>757</v>
      </c>
      <c r="C23" s="52">
        <f>1000000*0.22/12</f>
        <v>18333.333333333332</v>
      </c>
    </row>
    <row r="25" spans="2:8" ht="30" customHeight="1" x14ac:dyDescent="0.25">
      <c r="B25" s="54" t="s">
        <v>758</v>
      </c>
      <c r="C25" s="55"/>
      <c r="D25" s="55"/>
      <c r="E25" s="55"/>
      <c r="F25" s="55"/>
      <c r="G25" s="55"/>
      <c r="H25" s="55"/>
    </row>
    <row r="27" spans="2:8" ht="31.5" customHeight="1" x14ac:dyDescent="0.25">
      <c r="B27" s="9" t="s">
        <v>759</v>
      </c>
    </row>
  </sheetData>
  <hyperlinks>
    <hyperlink ref="B3" location="'Indice'!A1" display="◀ Volver al índice" xr:uid="{00000000-0004-0000-1F00-000000000000}"/>
  </hyperlinks>
  <pageMargins left="0.75" right="0.75" top="1" bottom="1" header="0.511811023622047" footer="0.511811023622047"/>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F1F4B"/>
  </sheetPr>
  <dimension ref="A1:H24"/>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2"/>
      <c r="B1" s="36" t="s">
        <v>760</v>
      </c>
      <c r="C1" s="2"/>
      <c r="D1" s="2"/>
      <c r="E1" s="2"/>
      <c r="F1" s="2"/>
      <c r="G1" s="2"/>
      <c r="H1" s="2"/>
    </row>
    <row r="2" spans="1:8" x14ac:dyDescent="0.25">
      <c r="B2" s="3" t="s">
        <v>761</v>
      </c>
    </row>
    <row r="3" spans="1:8" x14ac:dyDescent="0.25">
      <c r="B3" s="37" t="s">
        <v>124</v>
      </c>
      <c r="E3" s="38" t="s">
        <v>762</v>
      </c>
    </row>
    <row r="4" spans="1:8" x14ac:dyDescent="0.25">
      <c r="B4" s="39" t="s">
        <v>126</v>
      </c>
    </row>
    <row r="6" spans="1:8" x14ac:dyDescent="0.25">
      <c r="B6" s="91" t="s">
        <v>763</v>
      </c>
      <c r="C6" s="30"/>
      <c r="D6" s="30"/>
      <c r="E6" s="30"/>
      <c r="F6" s="30"/>
      <c r="G6" s="30"/>
      <c r="H6" s="30"/>
    </row>
    <row r="7" spans="1:8" ht="24" x14ac:dyDescent="0.25">
      <c r="B7" s="45" t="s">
        <v>764</v>
      </c>
      <c r="C7" s="45" t="s">
        <v>765</v>
      </c>
      <c r="D7" s="45" t="s">
        <v>766</v>
      </c>
      <c r="E7" s="45" t="s">
        <v>767</v>
      </c>
    </row>
    <row r="8" spans="1:8" x14ac:dyDescent="0.25">
      <c r="B8" s="46" t="s">
        <v>768</v>
      </c>
      <c r="C8" s="46" t="s">
        <v>769</v>
      </c>
      <c r="D8" s="46" t="s">
        <v>770</v>
      </c>
      <c r="E8" s="46" t="s">
        <v>771</v>
      </c>
    </row>
    <row r="9" spans="1:8" x14ac:dyDescent="0.25">
      <c r="B9" s="48" t="s">
        <v>772</v>
      </c>
      <c r="C9" s="48" t="s">
        <v>773</v>
      </c>
      <c r="D9" s="48" t="s">
        <v>774</v>
      </c>
      <c r="E9" s="48" t="s">
        <v>771</v>
      </c>
    </row>
    <row r="10" spans="1:8" ht="51" x14ac:dyDescent="0.25">
      <c r="B10" s="46" t="s">
        <v>775</v>
      </c>
      <c r="C10" s="46" t="s">
        <v>776</v>
      </c>
      <c r="D10" s="46" t="s">
        <v>777</v>
      </c>
      <c r="E10" s="46" t="s">
        <v>778</v>
      </c>
    </row>
    <row r="12" spans="1:8" x14ac:dyDescent="0.25">
      <c r="B12" s="91" t="s">
        <v>779</v>
      </c>
      <c r="C12" s="30"/>
      <c r="D12" s="30"/>
      <c r="E12" s="30"/>
      <c r="F12" s="30"/>
      <c r="G12" s="30"/>
      <c r="H12" s="30"/>
    </row>
    <row r="13" spans="1:8" x14ac:dyDescent="0.25">
      <c r="B13" s="41" t="s">
        <v>780</v>
      </c>
      <c r="C13" s="67" t="s">
        <v>781</v>
      </c>
    </row>
    <row r="14" spans="1:8" x14ac:dyDescent="0.25">
      <c r="B14" s="41" t="s">
        <v>782</v>
      </c>
      <c r="C14" s="6">
        <v>29</v>
      </c>
    </row>
    <row r="15" spans="1:8" x14ac:dyDescent="0.25">
      <c r="B15" s="41" t="s">
        <v>783</v>
      </c>
      <c r="C15" s="6">
        <v>24</v>
      </c>
    </row>
    <row r="16" spans="1:8" x14ac:dyDescent="0.25">
      <c r="B16" s="41" t="s">
        <v>784</v>
      </c>
      <c r="C16" s="52">
        <f>IF(C13="Vino",220,325)</f>
        <v>325</v>
      </c>
    </row>
    <row r="17" spans="2:8" x14ac:dyDescent="0.25">
      <c r="B17" s="41" t="s">
        <v>785</v>
      </c>
      <c r="C17" s="52">
        <f>C14*C16</f>
        <v>9425</v>
      </c>
    </row>
    <row r="18" spans="2:8" x14ac:dyDescent="0.25">
      <c r="B18" s="41" t="s">
        <v>786</v>
      </c>
      <c r="C18" s="52">
        <f>C15*C16</f>
        <v>7800</v>
      </c>
    </row>
    <row r="19" spans="2:8" x14ac:dyDescent="0.25">
      <c r="B19" s="41" t="s">
        <v>787</v>
      </c>
      <c r="C19" s="50">
        <f>C17-C18</f>
        <v>1625</v>
      </c>
    </row>
    <row r="20" spans="2:8" x14ac:dyDescent="0.25">
      <c r="B20" s="41" t="s">
        <v>788</v>
      </c>
      <c r="C20" s="50">
        <f>C19*12</f>
        <v>19500</v>
      </c>
    </row>
    <row r="22" spans="2:8" ht="30" customHeight="1" x14ac:dyDescent="0.25">
      <c r="B22" s="54" t="s">
        <v>789</v>
      </c>
      <c r="C22" s="55"/>
      <c r="D22" s="55"/>
      <c r="E22" s="55"/>
      <c r="F22" s="55"/>
      <c r="G22" s="55"/>
      <c r="H22" s="55"/>
    </row>
    <row r="24" spans="2:8" ht="43.5" customHeight="1" x14ac:dyDescent="0.25">
      <c r="B24" s="9" t="s">
        <v>790</v>
      </c>
    </row>
  </sheetData>
  <dataValidations count="1">
    <dataValidation type="list" allowBlank="1" sqref="C13" xr:uid="{00000000-0002-0000-2000-000000000000}">
      <formula1>"Licor,Vino"</formula1>
      <formula2>0</formula2>
    </dataValidation>
  </dataValidations>
  <hyperlinks>
    <hyperlink ref="B3" location="'Indice'!A1" display="◀ Volver al índice" xr:uid="{00000000-0004-0000-2000-000000000000}"/>
  </hyperlinks>
  <pageMargins left="0.75" right="0.75" top="1" bottom="1" header="0.511811023622047" footer="0.511811023622047"/>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F1F4B"/>
  </sheetPr>
  <dimension ref="A1:H26"/>
  <sheetViews>
    <sheetView showGridLines="0" zoomScaleNormal="100" workbookViewId="0"/>
  </sheetViews>
  <sheetFormatPr baseColWidth="10" defaultColWidth="8.7109375" defaultRowHeight="15" x14ac:dyDescent="0.25"/>
  <cols>
    <col min="1" max="1" width="2.42578125" customWidth="1"/>
    <col min="2" max="2" width="32" customWidth="1"/>
    <col min="3" max="7" width="15" customWidth="1"/>
    <col min="8" max="8" width="14" customWidth="1"/>
  </cols>
  <sheetData>
    <row r="1" spans="1:8" ht="27" customHeight="1" x14ac:dyDescent="0.25">
      <c r="A1" s="2"/>
      <c r="B1" s="36" t="s">
        <v>791</v>
      </c>
      <c r="C1" s="2"/>
      <c r="D1" s="2"/>
      <c r="E1" s="2"/>
      <c r="F1" s="2"/>
      <c r="G1" s="2"/>
      <c r="H1" s="2"/>
    </row>
    <row r="2" spans="1:8" x14ac:dyDescent="0.25">
      <c r="B2" s="3" t="s">
        <v>792</v>
      </c>
    </row>
    <row r="3" spans="1:8" x14ac:dyDescent="0.25">
      <c r="B3" s="37" t="s">
        <v>124</v>
      </c>
      <c r="E3" s="38" t="s">
        <v>793</v>
      </c>
    </row>
    <row r="4" spans="1:8" x14ac:dyDescent="0.25">
      <c r="B4" s="39" t="s">
        <v>126</v>
      </c>
    </row>
    <row r="6" spans="1:8" x14ac:dyDescent="0.25">
      <c r="B6" s="91" t="s">
        <v>794</v>
      </c>
      <c r="C6" s="30"/>
      <c r="D6" s="30"/>
      <c r="E6" s="30"/>
      <c r="F6" s="30"/>
      <c r="G6" s="30"/>
      <c r="H6" s="30"/>
    </row>
    <row r="7" spans="1:8" ht="24" x14ac:dyDescent="0.25">
      <c r="B7" s="45" t="s">
        <v>795</v>
      </c>
      <c r="C7" s="45" t="s">
        <v>796</v>
      </c>
      <c r="D7" s="45" t="s">
        <v>797</v>
      </c>
      <c r="E7" s="45" t="s">
        <v>798</v>
      </c>
      <c r="F7" s="45" t="s">
        <v>799</v>
      </c>
    </row>
    <row r="8" spans="1:8" ht="25.5" x14ac:dyDescent="0.25">
      <c r="B8" s="46" t="s">
        <v>800</v>
      </c>
      <c r="C8" s="46" t="s">
        <v>801</v>
      </c>
      <c r="D8" s="46" t="s">
        <v>802</v>
      </c>
      <c r="E8" s="46" t="s">
        <v>532</v>
      </c>
      <c r="F8" s="46" t="s">
        <v>532</v>
      </c>
    </row>
    <row r="9" spans="1:8" x14ac:dyDescent="0.25">
      <c r="B9" s="48" t="s">
        <v>803</v>
      </c>
      <c r="C9" s="48" t="s">
        <v>449</v>
      </c>
      <c r="D9" s="48" t="s">
        <v>804</v>
      </c>
      <c r="E9" s="48" t="s">
        <v>805</v>
      </c>
      <c r="F9" s="48" t="s">
        <v>532</v>
      </c>
    </row>
    <row r="10" spans="1:8" x14ac:dyDescent="0.25">
      <c r="B10" s="46" t="s">
        <v>806</v>
      </c>
      <c r="C10" s="46" t="s">
        <v>807</v>
      </c>
      <c r="D10" s="46" t="s">
        <v>808</v>
      </c>
      <c r="E10" s="46" t="s">
        <v>809</v>
      </c>
      <c r="F10" s="46" t="s">
        <v>532</v>
      </c>
    </row>
    <row r="11" spans="1:8" x14ac:dyDescent="0.25">
      <c r="B11" s="48" t="s">
        <v>810</v>
      </c>
      <c r="C11" s="48" t="s">
        <v>807</v>
      </c>
      <c r="D11" s="48" t="s">
        <v>811</v>
      </c>
      <c r="E11" s="48" t="s">
        <v>805</v>
      </c>
      <c r="F11" s="48" t="s">
        <v>812</v>
      </c>
    </row>
    <row r="12" spans="1:8" x14ac:dyDescent="0.25">
      <c r="B12" s="46" t="s">
        <v>813</v>
      </c>
      <c r="C12" s="46" t="s">
        <v>449</v>
      </c>
      <c r="D12" s="46" t="s">
        <v>807</v>
      </c>
      <c r="E12" s="46" t="s">
        <v>532</v>
      </c>
      <c r="F12" s="46" t="s">
        <v>805</v>
      </c>
    </row>
    <row r="13" spans="1:8" x14ac:dyDescent="0.25">
      <c r="B13" s="48" t="s">
        <v>814</v>
      </c>
      <c r="C13" s="48" t="s">
        <v>449</v>
      </c>
      <c r="D13" s="48" t="s">
        <v>807</v>
      </c>
      <c r="E13" s="48" t="s">
        <v>532</v>
      </c>
      <c r="F13" s="48" t="s">
        <v>805</v>
      </c>
    </row>
    <row r="14" spans="1:8" x14ac:dyDescent="0.25">
      <c r="B14" s="46" t="s">
        <v>815</v>
      </c>
      <c r="C14" s="46" t="s">
        <v>816</v>
      </c>
      <c r="D14" s="46" t="s">
        <v>807</v>
      </c>
      <c r="E14" s="46" t="s">
        <v>532</v>
      </c>
      <c r="F14" s="46" t="s">
        <v>817</v>
      </c>
    </row>
    <row r="15" spans="1:8" x14ac:dyDescent="0.25">
      <c r="B15" s="48" t="s">
        <v>818</v>
      </c>
      <c r="C15" s="48" t="s">
        <v>449</v>
      </c>
      <c r="D15" s="48" t="s">
        <v>807</v>
      </c>
      <c r="E15" s="48" t="s">
        <v>805</v>
      </c>
      <c r="F15" s="48" t="s">
        <v>812</v>
      </c>
    </row>
    <row r="16" spans="1:8" x14ac:dyDescent="0.25">
      <c r="B16" s="46" t="s">
        <v>819</v>
      </c>
      <c r="C16" s="46" t="s">
        <v>807</v>
      </c>
      <c r="D16" s="46" t="s">
        <v>808</v>
      </c>
      <c r="E16" s="46" t="s">
        <v>809</v>
      </c>
      <c r="F16" s="46" t="s">
        <v>532</v>
      </c>
    </row>
    <row r="17" spans="2:8" x14ac:dyDescent="0.25">
      <c r="B17" s="48" t="s">
        <v>820</v>
      </c>
      <c r="C17" s="48" t="s">
        <v>807</v>
      </c>
      <c r="D17" s="48" t="s">
        <v>811</v>
      </c>
      <c r="E17" s="48" t="s">
        <v>805</v>
      </c>
      <c r="F17" s="48" t="s">
        <v>532</v>
      </c>
    </row>
    <row r="19" spans="2:8" x14ac:dyDescent="0.25">
      <c r="B19" s="91" t="s">
        <v>821</v>
      </c>
      <c r="C19" s="30"/>
      <c r="D19" s="30"/>
      <c r="E19" s="30"/>
      <c r="F19" s="30"/>
      <c r="G19" s="30"/>
      <c r="H19" s="30"/>
    </row>
    <row r="20" spans="2:8" x14ac:dyDescent="0.25">
      <c r="B20" s="41" t="s">
        <v>822</v>
      </c>
      <c r="C20" s="43"/>
    </row>
    <row r="21" spans="2:8" x14ac:dyDescent="0.25">
      <c r="B21" s="41" t="s">
        <v>823</v>
      </c>
      <c r="C21" s="61"/>
    </row>
    <row r="22" spans="2:8" x14ac:dyDescent="0.25">
      <c r="B22" s="41" t="s">
        <v>824</v>
      </c>
      <c r="C22" s="42"/>
    </row>
    <row r="24" spans="2:8" ht="25.5" x14ac:dyDescent="0.25">
      <c r="B24" s="41" t="s">
        <v>825</v>
      </c>
      <c r="C24" s="43">
        <v>0.05</v>
      </c>
    </row>
    <row r="26" spans="2:8" ht="30" customHeight="1" x14ac:dyDescent="0.25">
      <c r="B26" s="54" t="str">
        <f>IF(C20="","Escriba su tope cuando la dirección comercial lo confirme (dato pendiente de validación con SULICOR).",IF(C24&lt;=C20,"LO DECIDE USTED: concédalo con contrapartida y regístrelo.","ESCALE HOY. QUÉ SE DICE: —Eso está por encima de lo que yo puedo autorizar. Lo llevo hoy mismo y le respondo el jueves—."))</f>
        <v>Escriba su tope cuando la dirección comercial lo confirme (dato pendiente de validación con SULICOR).</v>
      </c>
      <c r="C26" s="55"/>
      <c r="D26" s="55"/>
      <c r="E26" s="55"/>
      <c r="F26" s="55"/>
      <c r="G26" s="55"/>
      <c r="H26" s="55"/>
    </row>
  </sheetData>
  <hyperlinks>
    <hyperlink ref="B3" location="'Indice'!A1" display="◀ Volver al índice" xr:uid="{00000000-0004-0000-2100-000000000000}"/>
  </hyperlinks>
  <pageMargins left="0.75" right="0.75" top="1" bottom="1" header="0.511811023622047" footer="0.511811023622047"/>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F1F4B"/>
  </sheetPr>
  <dimension ref="A1:H27"/>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2"/>
      <c r="B1" s="36" t="s">
        <v>826</v>
      </c>
      <c r="C1" s="2"/>
      <c r="D1" s="2"/>
      <c r="E1" s="2"/>
      <c r="F1" s="2"/>
      <c r="G1" s="2"/>
      <c r="H1" s="2"/>
    </row>
    <row r="2" spans="1:8" x14ac:dyDescent="0.25">
      <c r="B2" s="3" t="s">
        <v>827</v>
      </c>
    </row>
    <row r="3" spans="1:8" x14ac:dyDescent="0.25">
      <c r="B3" s="37" t="s">
        <v>124</v>
      </c>
      <c r="E3" s="38" t="s">
        <v>828</v>
      </c>
    </row>
    <row r="4" spans="1:8" x14ac:dyDescent="0.25">
      <c r="B4" s="39" t="s">
        <v>126</v>
      </c>
    </row>
    <row r="6" spans="1:8" x14ac:dyDescent="0.25">
      <c r="B6" s="41" t="s">
        <v>829</v>
      </c>
      <c r="C6" s="42">
        <v>47500</v>
      </c>
    </row>
    <row r="7" spans="1:8" x14ac:dyDescent="0.25">
      <c r="B7" s="41" t="s">
        <v>830</v>
      </c>
      <c r="C7" s="6">
        <v>750</v>
      </c>
    </row>
    <row r="8" spans="1:8" x14ac:dyDescent="0.25">
      <c r="B8" s="41" t="s">
        <v>831</v>
      </c>
      <c r="C8" s="6">
        <v>30</v>
      </c>
    </row>
    <row r="9" spans="1:8" x14ac:dyDescent="0.25">
      <c r="B9" s="41" t="s">
        <v>832</v>
      </c>
      <c r="C9" s="42">
        <v>12000</v>
      </c>
    </row>
    <row r="11" spans="1:8" x14ac:dyDescent="0.25">
      <c r="B11" s="91" t="s">
        <v>833</v>
      </c>
      <c r="C11" s="30"/>
      <c r="D11" s="30"/>
      <c r="E11" s="30"/>
      <c r="F11" s="30"/>
      <c r="G11" s="30"/>
      <c r="H11" s="30"/>
    </row>
    <row r="12" spans="1:8" x14ac:dyDescent="0.25">
      <c r="B12" s="41" t="s">
        <v>834</v>
      </c>
      <c r="C12" s="8">
        <f>C7/C8</f>
        <v>25</v>
      </c>
    </row>
    <row r="13" spans="1:8" x14ac:dyDescent="0.25">
      <c r="B13" s="41" t="s">
        <v>835</v>
      </c>
      <c r="C13" s="52">
        <f>C6/(C7/C8)</f>
        <v>1900</v>
      </c>
    </row>
    <row r="14" spans="1:8" x14ac:dyDescent="0.25">
      <c r="B14" s="41" t="s">
        <v>836</v>
      </c>
      <c r="C14" s="50">
        <f>(C7/C8)*C9</f>
        <v>300000</v>
      </c>
    </row>
    <row r="15" spans="1:8" x14ac:dyDescent="0.25">
      <c r="B15" s="41" t="s">
        <v>837</v>
      </c>
      <c r="C15" s="51">
        <f>(C14-C6)/C14</f>
        <v>0.84166666666666667</v>
      </c>
    </row>
    <row r="16" spans="1:8" ht="25.5" x14ac:dyDescent="0.25">
      <c r="B16" s="41" t="s">
        <v>838</v>
      </c>
      <c r="C16" s="95">
        <f>C14/C6</f>
        <v>6.3157894736842106</v>
      </c>
    </row>
    <row r="18" spans="2:8" ht="30" customHeight="1" x14ac:dyDescent="0.25">
      <c r="B18" s="54" t="s">
        <v>839</v>
      </c>
      <c r="C18" s="55"/>
      <c r="D18" s="55"/>
      <c r="E18" s="55"/>
      <c r="F18" s="55"/>
      <c r="G18" s="55"/>
      <c r="H18" s="55"/>
    </row>
    <row r="20" spans="2:8" ht="24" x14ac:dyDescent="0.25">
      <c r="B20" s="45" t="s">
        <v>840</v>
      </c>
      <c r="C20" s="45" t="s">
        <v>841</v>
      </c>
    </row>
    <row r="21" spans="2:8" ht="63.75" x14ac:dyDescent="0.25">
      <c r="B21" s="46" t="s">
        <v>842</v>
      </c>
      <c r="C21" s="46" t="s">
        <v>843</v>
      </c>
    </row>
    <row r="22" spans="2:8" ht="63.75" x14ac:dyDescent="0.25">
      <c r="B22" s="48" t="s">
        <v>844</v>
      </c>
      <c r="C22" s="48" t="s">
        <v>845</v>
      </c>
    </row>
    <row r="23" spans="2:8" ht="63.75" x14ac:dyDescent="0.25">
      <c r="B23" s="46" t="s">
        <v>846</v>
      </c>
      <c r="C23" s="46" t="s">
        <v>847</v>
      </c>
    </row>
    <row r="24" spans="2:8" ht="63.75" x14ac:dyDescent="0.25">
      <c r="B24" s="48" t="s">
        <v>848</v>
      </c>
      <c r="C24" s="48" t="s">
        <v>849</v>
      </c>
    </row>
    <row r="25" spans="2:8" ht="76.5" x14ac:dyDescent="0.25">
      <c r="B25" s="46" t="s">
        <v>850</v>
      </c>
      <c r="C25" s="46" t="s">
        <v>851</v>
      </c>
    </row>
    <row r="27" spans="2:8" ht="30" customHeight="1" x14ac:dyDescent="0.25">
      <c r="B27" s="9" t="s">
        <v>852</v>
      </c>
    </row>
  </sheetData>
  <hyperlinks>
    <hyperlink ref="B3" location="'Indice'!A1" display="◀ Volver al índice" xr:uid="{00000000-0004-0000-2200-000000000000}"/>
  </hyperlinks>
  <pageMargins left="0.75" right="0.75" top="1" bottom="1" header="0.511811023622047" footer="0.511811023622047"/>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F1F4B"/>
  </sheetPr>
  <dimension ref="A1:H31"/>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2"/>
      <c r="B1" s="36" t="s">
        <v>853</v>
      </c>
      <c r="C1" s="2"/>
      <c r="D1" s="2"/>
      <c r="E1" s="2"/>
      <c r="F1" s="2"/>
      <c r="G1" s="2"/>
      <c r="H1" s="2"/>
    </row>
    <row r="2" spans="1:8" x14ac:dyDescent="0.25">
      <c r="B2" s="3" t="s">
        <v>854</v>
      </c>
    </row>
    <row r="3" spans="1:8" x14ac:dyDescent="0.25">
      <c r="B3" s="37" t="s">
        <v>124</v>
      </c>
      <c r="E3" s="38" t="s">
        <v>855</v>
      </c>
    </row>
    <row r="4" spans="1:8" x14ac:dyDescent="0.25">
      <c r="B4" s="39" t="s">
        <v>126</v>
      </c>
    </row>
    <row r="6" spans="1:8" x14ac:dyDescent="0.25">
      <c r="B6" s="41" t="s">
        <v>856</v>
      </c>
      <c r="C6" s="42">
        <v>2000000</v>
      </c>
    </row>
    <row r="7" spans="1:8" x14ac:dyDescent="0.25">
      <c r="B7" s="41" t="s">
        <v>268</v>
      </c>
      <c r="C7" s="42">
        <v>114000</v>
      </c>
    </row>
    <row r="8" spans="1:8" x14ac:dyDescent="0.25">
      <c r="B8" s="41" t="s">
        <v>857</v>
      </c>
      <c r="C8" s="6">
        <v>25</v>
      </c>
    </row>
    <row r="10" spans="1:8" x14ac:dyDescent="0.25">
      <c r="B10" s="91" t="s">
        <v>858</v>
      </c>
      <c r="C10" s="30"/>
      <c r="D10" s="30"/>
      <c r="E10" s="30"/>
      <c r="F10" s="30"/>
      <c r="G10" s="30"/>
      <c r="H10" s="30"/>
    </row>
    <row r="11" spans="1:8" ht="25.5" x14ac:dyDescent="0.25">
      <c r="B11" s="41" t="s">
        <v>859</v>
      </c>
      <c r="C11" s="8">
        <f>ROUNDUP(C6/C7,0)</f>
        <v>18</v>
      </c>
    </row>
    <row r="12" spans="1:8" x14ac:dyDescent="0.25">
      <c r="B12" s="41" t="s">
        <v>860</v>
      </c>
      <c r="C12" s="52">
        <f>C8*C7</f>
        <v>2850000</v>
      </c>
    </row>
    <row r="13" spans="1:8" x14ac:dyDescent="0.25">
      <c r="B13" s="41" t="s">
        <v>861</v>
      </c>
      <c r="C13" s="53">
        <f>(C8*C7-C6)/C6</f>
        <v>0.42499999999999999</v>
      </c>
    </row>
    <row r="15" spans="1:8" ht="30" customHeight="1" x14ac:dyDescent="0.25">
      <c r="B15" s="54" t="str">
        <f>IF(C13&gt;0,"Se pagó y deja retorno: RENUEVE — midiendo contra línea base cada vez.","NO se pagó: renegocie la inversión o cancélela. Una exhibición que no se mide es un descuento disfrazado de mercadeo.")</f>
        <v>Se pagó y deja retorno: RENUEVE — midiendo contra línea base cada vez.</v>
      </c>
      <c r="C15" s="55"/>
      <c r="D15" s="55"/>
      <c r="E15" s="55"/>
      <c r="F15" s="55"/>
      <c r="G15" s="55"/>
      <c r="H15" s="55"/>
    </row>
    <row r="17" spans="2:8" x14ac:dyDescent="0.25">
      <c r="B17" s="45" t="s">
        <v>862</v>
      </c>
      <c r="C17" s="45" t="s">
        <v>863</v>
      </c>
    </row>
    <row r="18" spans="2:8" x14ac:dyDescent="0.25">
      <c r="B18" s="63">
        <v>15</v>
      </c>
      <c r="C18" s="60">
        <f>(B18*C$7-C$6)/C$6</f>
        <v>-0.14499999999999999</v>
      </c>
    </row>
    <row r="19" spans="2:8" x14ac:dyDescent="0.25">
      <c r="B19" s="63">
        <v>20</v>
      </c>
      <c r="C19" s="60">
        <f>(B19*C$7-C$6)/C$6</f>
        <v>0.14000000000000001</v>
      </c>
    </row>
    <row r="20" spans="2:8" x14ac:dyDescent="0.25">
      <c r="B20" s="63">
        <v>25</v>
      </c>
      <c r="C20" s="60">
        <f>(B20*C$7-C$6)/C$6</f>
        <v>0.42499999999999999</v>
      </c>
    </row>
    <row r="21" spans="2:8" x14ac:dyDescent="0.25">
      <c r="B21" s="63">
        <v>30</v>
      </c>
      <c r="C21" s="60">
        <f>(B21*C$7-C$6)/C$6</f>
        <v>0.71</v>
      </c>
    </row>
    <row r="23" spans="2:8" x14ac:dyDescent="0.25">
      <c r="B23" s="91" t="s">
        <v>864</v>
      </c>
      <c r="C23" s="30"/>
      <c r="D23" s="30"/>
      <c r="E23" s="30"/>
      <c r="F23" s="30"/>
      <c r="G23" s="30"/>
      <c r="H23" s="30"/>
    </row>
    <row r="24" spans="2:8" x14ac:dyDescent="0.25">
      <c r="B24" s="41" t="s">
        <v>865</v>
      </c>
      <c r="C24" s="43">
        <v>0.1</v>
      </c>
    </row>
    <row r="25" spans="2:8" x14ac:dyDescent="0.25">
      <c r="B25" s="41" t="s">
        <v>130</v>
      </c>
      <c r="C25" s="43">
        <v>0.25</v>
      </c>
    </row>
    <row r="26" spans="2:8" x14ac:dyDescent="0.25">
      <c r="B26" s="41" t="s">
        <v>866</v>
      </c>
      <c r="C26" s="73">
        <f>IF(C24&gt;=C25,"—",C24/(C25-C24))</f>
        <v>0.66666666666666674</v>
      </c>
    </row>
    <row r="27" spans="2:8" x14ac:dyDescent="0.25">
      <c r="B27" s="41" t="s">
        <v>867</v>
      </c>
      <c r="C27" s="43">
        <v>0.3</v>
      </c>
    </row>
    <row r="29" spans="2:8" ht="30" customHeight="1" x14ac:dyDescent="0.25">
      <c r="B29" s="54" t="str">
        <f>IF(ISNUMBER(C26),IF(C27&lt;C26,"El precio NO es la palanca de esta cuenta: movió menos volumen del que exigía la tabla. Invierta en visibilidad, exhibición u ocasión — se pagan con menos volumen.","El volumen respondió por encima de la exigencia: el precio sí mueve esta cuenta — aun así, mida el mes siguiente (B12)."),"Revise el descuento: iguala o supera el margen.")</f>
        <v>El precio NO es la palanca de esta cuenta: movió menos volumen del que exigía la tabla. Invierta en visibilidad, exhibición u ocasión — se pagan con menos volumen.</v>
      </c>
      <c r="C29" s="55"/>
      <c r="D29" s="55"/>
      <c r="E29" s="55"/>
      <c r="F29" s="55"/>
      <c r="G29" s="55"/>
      <c r="H29" s="55"/>
    </row>
    <row r="31" spans="2:8" ht="36" customHeight="1" x14ac:dyDescent="0.25">
      <c r="B31" s="9" t="s">
        <v>868</v>
      </c>
    </row>
  </sheetData>
  <hyperlinks>
    <hyperlink ref="B3" location="'Indice'!A1" display="◀ Volver al índice" xr:uid="{00000000-0004-0000-2300-000000000000}"/>
  </hyperlink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E9E4F"/>
  </sheetPr>
  <dimension ref="A1:H23"/>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35"/>
      <c r="B1" s="36" t="s">
        <v>174</v>
      </c>
      <c r="C1" s="2"/>
      <c r="D1" s="2"/>
      <c r="E1" s="2"/>
      <c r="F1" s="2"/>
      <c r="G1" s="2"/>
      <c r="H1" s="2"/>
    </row>
    <row r="2" spans="1:8" x14ac:dyDescent="0.25">
      <c r="B2" s="3" t="s">
        <v>175</v>
      </c>
    </row>
    <row r="3" spans="1:8" x14ac:dyDescent="0.25">
      <c r="B3" s="37" t="s">
        <v>124</v>
      </c>
      <c r="E3" s="38" t="s">
        <v>176</v>
      </c>
    </row>
    <row r="4" spans="1:8" x14ac:dyDescent="0.25">
      <c r="B4" s="39" t="s">
        <v>126</v>
      </c>
    </row>
    <row r="6" spans="1:8" x14ac:dyDescent="0.25">
      <c r="B6" s="41" t="s">
        <v>177</v>
      </c>
      <c r="C6" s="42">
        <v>228000000</v>
      </c>
    </row>
    <row r="7" spans="1:8" x14ac:dyDescent="0.25">
      <c r="B7" s="41" t="s">
        <v>130</v>
      </c>
      <c r="C7" s="43">
        <v>0.25</v>
      </c>
    </row>
    <row r="8" spans="1:8" x14ac:dyDescent="0.25">
      <c r="B8" s="41" t="s">
        <v>136</v>
      </c>
      <c r="C8" s="43">
        <v>0.22</v>
      </c>
    </row>
    <row r="9" spans="1:8" ht="25.5" x14ac:dyDescent="0.25">
      <c r="B9" s="41" t="s">
        <v>178</v>
      </c>
      <c r="C9" s="61">
        <v>6</v>
      </c>
    </row>
    <row r="11" spans="1:8" x14ac:dyDescent="0.25">
      <c r="B11" s="40" t="s">
        <v>179</v>
      </c>
      <c r="C11" s="11"/>
      <c r="D11" s="11"/>
      <c r="E11" s="11"/>
      <c r="F11" s="11"/>
      <c r="G11" s="11"/>
      <c r="H11" s="11"/>
    </row>
    <row r="12" spans="1:8" x14ac:dyDescent="0.25">
      <c r="B12" s="45" t="s">
        <v>180</v>
      </c>
      <c r="C12" s="45" t="s">
        <v>181</v>
      </c>
      <c r="D12" s="45" t="s">
        <v>182</v>
      </c>
      <c r="E12" s="45" t="s">
        <v>183</v>
      </c>
    </row>
    <row r="13" spans="1:8" x14ac:dyDescent="0.25">
      <c r="B13" s="46" t="s">
        <v>184</v>
      </c>
      <c r="C13" s="56">
        <v>0.04</v>
      </c>
      <c r="D13" s="47">
        <f>C$6*C13</f>
        <v>9120000</v>
      </c>
      <c r="E13" s="62">
        <f>C13*100</f>
        <v>4</v>
      </c>
    </row>
    <row r="14" spans="1:8" x14ac:dyDescent="0.25">
      <c r="B14" s="48" t="s">
        <v>185</v>
      </c>
      <c r="C14" s="56">
        <v>0.02</v>
      </c>
      <c r="D14" s="47">
        <f>C$6*C14</f>
        <v>4560000</v>
      </c>
      <c r="E14" s="62">
        <f>C14*100</f>
        <v>2</v>
      </c>
    </row>
    <row r="15" spans="1:8" x14ac:dyDescent="0.25">
      <c r="B15" s="46" t="s">
        <v>186</v>
      </c>
      <c r="C15" s="63">
        <v>24</v>
      </c>
      <c r="D15" s="47">
        <f>C$6/C15</f>
        <v>9500000</v>
      </c>
      <c r="E15" s="62">
        <f>100/C15</f>
        <v>4.166666666666667</v>
      </c>
    </row>
    <row r="16" spans="1:8" x14ac:dyDescent="0.25">
      <c r="B16" s="48" t="s">
        <v>187</v>
      </c>
      <c r="C16" s="63">
        <v>30</v>
      </c>
      <c r="D16" s="47">
        <f>C$6*((1+C$8)^(C16/365)-1)</f>
        <v>3757029.2478802809</v>
      </c>
      <c r="E16" s="62">
        <f>D16/C$6*100</f>
        <v>1.6478198455615267</v>
      </c>
    </row>
    <row r="17" spans="2:8" x14ac:dyDescent="0.25">
      <c r="B17" s="46" t="s">
        <v>188</v>
      </c>
      <c r="C17" s="59">
        <v>2000000</v>
      </c>
      <c r="D17" s="47">
        <f>C17</f>
        <v>2000000</v>
      </c>
      <c r="E17" s="62">
        <f>C17/C$6*100</f>
        <v>0.8771929824561403</v>
      </c>
    </row>
    <row r="18" spans="2:8" x14ac:dyDescent="0.25">
      <c r="B18" s="49" t="s">
        <v>189</v>
      </c>
      <c r="D18" s="64">
        <f>SUM(D13:D17)</f>
        <v>28937029.24788028</v>
      </c>
      <c r="E18" s="65">
        <f>SUM(E13:E17)</f>
        <v>12.691679494684335</v>
      </c>
    </row>
    <row r="19" spans="2:8" x14ac:dyDescent="0.25">
      <c r="B19" s="41" t="s">
        <v>190</v>
      </c>
      <c r="E19" s="66">
        <f>C7*100-E18</f>
        <v>12.308320505315665</v>
      </c>
    </row>
    <row r="21" spans="2:8" ht="30" customHeight="1" x14ac:dyDescent="0.25">
      <c r="B21" s="54" t="str">
        <f>IF(E18&gt;C9,"SUPERA su presupuesto de puntos: no responda pieza por pieza — recorte el paquete o escale (D7).","Dentro del presupuesto: reparta los puntos y deje reserva para el cierre.")</f>
        <v>SUPERA su presupuesto de puntos: no responda pieza por pieza — recorte el paquete o escale (D7).</v>
      </c>
      <c r="C21" s="55"/>
      <c r="D21" s="55"/>
      <c r="E21" s="55"/>
      <c r="F21" s="55"/>
      <c r="G21" s="55"/>
      <c r="H21" s="55"/>
    </row>
    <row r="23" spans="2:8" ht="24" customHeight="1" x14ac:dyDescent="0.25">
      <c r="B23" s="9" t="s">
        <v>191</v>
      </c>
    </row>
  </sheetData>
  <hyperlinks>
    <hyperlink ref="B3" location="'Indice'!A1" display="◀ Volver al índice" xr:uid="{00000000-0004-0000-0300-000000000000}"/>
  </hyperlink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E9E4F"/>
  </sheetPr>
  <dimension ref="A1:H22"/>
  <sheetViews>
    <sheetView showGridLines="0" tabSelected="1" zoomScale="139" zoomScaleNormal="100" workbookViewId="0"/>
  </sheetViews>
  <sheetFormatPr baseColWidth="10" defaultColWidth="8.7109375" defaultRowHeight="15" x14ac:dyDescent="0.25"/>
  <cols>
    <col min="1" max="1" width="2.42578125" customWidth="1"/>
    <col min="2" max="2" width="73.7109375" customWidth="1"/>
    <col min="3" max="8" width="14" customWidth="1"/>
  </cols>
  <sheetData>
    <row r="1" spans="1:8" ht="27" customHeight="1" x14ac:dyDescent="0.25">
      <c r="A1" s="35"/>
      <c r="B1" s="36" t="s">
        <v>192</v>
      </c>
      <c r="C1" s="2"/>
      <c r="D1" s="2"/>
      <c r="E1" s="2"/>
      <c r="F1" s="2"/>
      <c r="G1" s="2"/>
      <c r="H1" s="2"/>
    </row>
    <row r="2" spans="1:8" x14ac:dyDescent="0.25">
      <c r="B2" s="3" t="s">
        <v>22</v>
      </c>
    </row>
    <row r="3" spans="1:8" x14ac:dyDescent="0.25">
      <c r="B3" s="37" t="s">
        <v>124</v>
      </c>
      <c r="E3" s="38" t="s">
        <v>193</v>
      </c>
    </row>
    <row r="4" spans="1:8" x14ac:dyDescent="0.25">
      <c r="B4" s="39" t="s">
        <v>126</v>
      </c>
    </row>
    <row r="6" spans="1:8" x14ac:dyDescent="0.25">
      <c r="B6" s="40" t="s">
        <v>194</v>
      </c>
      <c r="C6" s="11"/>
      <c r="D6" s="11"/>
      <c r="E6" s="11"/>
      <c r="F6" s="11"/>
      <c r="G6" s="11"/>
      <c r="H6" s="11"/>
    </row>
    <row r="7" spans="1:8" ht="18" customHeight="1" x14ac:dyDescent="0.25">
      <c r="B7" s="41" t="s">
        <v>195</v>
      </c>
      <c r="F7" s="67"/>
    </row>
    <row r="8" spans="1:8" ht="18" customHeight="1" x14ac:dyDescent="0.25">
      <c r="B8" s="41" t="s">
        <v>196</v>
      </c>
      <c r="F8" s="67"/>
    </row>
    <row r="9" spans="1:8" ht="18" customHeight="1" x14ac:dyDescent="0.25">
      <c r="B9" s="41" t="s">
        <v>197</v>
      </c>
      <c r="F9" s="67"/>
    </row>
    <row r="10" spans="1:8" ht="18" customHeight="1" x14ac:dyDescent="0.25">
      <c r="B10" s="41" t="s">
        <v>198</v>
      </c>
      <c r="F10" s="67"/>
    </row>
    <row r="11" spans="1:8" ht="18" customHeight="1" x14ac:dyDescent="0.25">
      <c r="B11" s="41" t="s">
        <v>199</v>
      </c>
      <c r="F11" s="67"/>
    </row>
    <row r="12" spans="1:8" ht="18" customHeight="1" x14ac:dyDescent="0.25">
      <c r="B12" s="41" t="s">
        <v>200</v>
      </c>
      <c r="F12" s="67"/>
    </row>
    <row r="13" spans="1:8" ht="18" customHeight="1" x14ac:dyDescent="0.25">
      <c r="B13" s="41" t="s">
        <v>201</v>
      </c>
      <c r="F13" s="67"/>
    </row>
    <row r="14" spans="1:8" ht="18" customHeight="1" x14ac:dyDescent="0.25">
      <c r="B14" s="41" t="s">
        <v>202</v>
      </c>
      <c r="F14" s="67"/>
    </row>
    <row r="15" spans="1:8" ht="18" customHeight="1" x14ac:dyDescent="0.25">
      <c r="B15" s="41" t="s">
        <v>203</v>
      </c>
      <c r="F15" s="67"/>
    </row>
    <row r="16" spans="1:8" ht="18" customHeight="1" x14ac:dyDescent="0.25">
      <c r="B16" s="41" t="s">
        <v>204</v>
      </c>
      <c r="F16" s="67"/>
    </row>
    <row r="18" spans="2:8" x14ac:dyDescent="0.25">
      <c r="B18" s="41" t="s">
        <v>205</v>
      </c>
      <c r="C18" s="68" t="str">
        <f>COUNTA(F7:F16)&amp;" de 10"</f>
        <v>0 de 10</v>
      </c>
    </row>
    <row r="20" spans="2:8" ht="30" customHeight="1" x14ac:dyDescent="0.25">
      <c r="B20" s="54" t="str">
        <f>IF(COUNTA(F7:F16)=10,"LISTO: puede entrar a negociar.","APLACE LA REUNIÓN: faltan "&amp;(10-COUNTA(F7:F16))&amp;" casillas. Cada una tapa un error con costo conocido.")</f>
        <v>APLACE LA REUNIÓN: faltan 10 casillas. Cada una tapa un error con costo conocido.</v>
      </c>
      <c r="C20" s="55"/>
      <c r="D20" s="55"/>
      <c r="E20" s="55"/>
      <c r="F20" s="55"/>
      <c r="G20" s="55"/>
      <c r="H20" s="55"/>
    </row>
    <row r="22" spans="2:8" ht="31.5" customHeight="1" x14ac:dyDescent="0.25">
      <c r="B22" s="9" t="s">
        <v>206</v>
      </c>
    </row>
  </sheetData>
  <dataValidations count="1">
    <dataValidation type="list" allowBlank="1" sqref="F7:F16" xr:uid="{00000000-0002-0000-0400-000000000000}">
      <formula1>"✓"</formula1>
      <formula2>0</formula2>
    </dataValidation>
  </dataValidations>
  <hyperlinks>
    <hyperlink ref="B3" location="'Indice'!A1" display="◀ Volver al índice" xr:uid="{00000000-0004-0000-0400-000000000000}"/>
  </hyperlink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E9E4F"/>
  </sheetPr>
  <dimension ref="A1:H27"/>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35"/>
      <c r="B1" s="36" t="s">
        <v>207</v>
      </c>
      <c r="C1" s="2"/>
      <c r="D1" s="2"/>
      <c r="E1" s="2"/>
      <c r="F1" s="2"/>
      <c r="G1" s="2"/>
      <c r="H1" s="2"/>
    </row>
    <row r="2" spans="1:8" x14ac:dyDescent="0.25">
      <c r="B2" s="3" t="s">
        <v>208</v>
      </c>
    </row>
    <row r="3" spans="1:8" x14ac:dyDescent="0.25">
      <c r="B3" s="37" t="s">
        <v>124</v>
      </c>
      <c r="E3" s="38" t="s">
        <v>209</v>
      </c>
    </row>
    <row r="4" spans="1:8" x14ac:dyDescent="0.25">
      <c r="B4" s="39" t="s">
        <v>126</v>
      </c>
    </row>
    <row r="6" spans="1:8" x14ac:dyDescent="0.25">
      <c r="B6" s="41" t="s">
        <v>210</v>
      </c>
      <c r="C6" s="42">
        <v>10000000</v>
      </c>
    </row>
    <row r="7" spans="1:8" x14ac:dyDescent="0.25">
      <c r="B7" s="41" t="s">
        <v>130</v>
      </c>
      <c r="C7" s="43">
        <v>0.25</v>
      </c>
    </row>
    <row r="9" spans="1:8" x14ac:dyDescent="0.25">
      <c r="B9" s="40" t="s">
        <v>211</v>
      </c>
      <c r="C9" s="11"/>
      <c r="D9" s="11"/>
      <c r="E9" s="11"/>
      <c r="F9" s="11"/>
      <c r="G9" s="11"/>
      <c r="H9" s="11"/>
    </row>
    <row r="10" spans="1:8" x14ac:dyDescent="0.25">
      <c r="B10" s="41" t="s">
        <v>212</v>
      </c>
      <c r="C10" s="52">
        <f>C6*C7</f>
        <v>2500000</v>
      </c>
    </row>
    <row r="11" spans="1:8" x14ac:dyDescent="0.25">
      <c r="B11" s="41" t="s">
        <v>213</v>
      </c>
      <c r="C11" s="64">
        <f>C6*(1-C7)</f>
        <v>7500000</v>
      </c>
    </row>
    <row r="12" spans="1:8" ht="25.5" x14ac:dyDescent="0.25">
      <c r="B12" s="41" t="s">
        <v>214</v>
      </c>
      <c r="C12" s="69">
        <f>(1-C7)/C7</f>
        <v>3</v>
      </c>
    </row>
    <row r="14" spans="1:8" x14ac:dyDescent="0.25">
      <c r="B14" s="40" t="s">
        <v>215</v>
      </c>
      <c r="C14" s="11"/>
      <c r="D14" s="11"/>
      <c r="E14" s="11"/>
      <c r="F14" s="11"/>
      <c r="G14" s="11"/>
      <c r="H14" s="11"/>
    </row>
    <row r="15" spans="1:8" ht="25.5" x14ac:dyDescent="0.25">
      <c r="B15" s="41" t="s">
        <v>216</v>
      </c>
      <c r="C15" s="52">
        <f>C6</f>
        <v>10000000</v>
      </c>
    </row>
    <row r="16" spans="1:8" x14ac:dyDescent="0.25">
      <c r="B16" s="41" t="s">
        <v>217</v>
      </c>
      <c r="C16" s="42"/>
    </row>
    <row r="18" spans="2:8" ht="30" customHeight="1" x14ac:dyDescent="0.25">
      <c r="B18" s="54" t="str">
        <f>IF(C16="","Escriba el cupo que piensa solicitar.",IF(C16&lt;=C15,"Dentro de la regla. Se amplía tras TRES pagos puntuales y siempre con validación de crédito.","POR ENCIMA de la regla: ningún cupo se abre sin validación del área de crédito (D7)."))</f>
        <v>Escriba el cupo que piensa solicitar.</v>
      </c>
      <c r="C18" s="55"/>
      <c r="D18" s="55"/>
      <c r="E18" s="55"/>
      <c r="F18" s="55"/>
      <c r="G18" s="55"/>
      <c r="H18" s="55"/>
    </row>
    <row r="20" spans="2:8" ht="24" x14ac:dyDescent="0.25">
      <c r="B20" s="45" t="s">
        <v>218</v>
      </c>
      <c r="C20" s="45" t="s">
        <v>219</v>
      </c>
    </row>
    <row r="21" spans="2:8" ht="38.25" x14ac:dyDescent="0.25">
      <c r="B21" s="46" t="s">
        <v>220</v>
      </c>
      <c r="C21" s="46" t="s">
        <v>221</v>
      </c>
    </row>
    <row r="22" spans="2:8" ht="51" x14ac:dyDescent="0.25">
      <c r="B22" s="48" t="s">
        <v>222</v>
      </c>
      <c r="C22" s="48" t="s">
        <v>223</v>
      </c>
    </row>
    <row r="23" spans="2:8" ht="51" x14ac:dyDescent="0.25">
      <c r="B23" s="46" t="s">
        <v>224</v>
      </c>
      <c r="C23" s="46" t="s">
        <v>225</v>
      </c>
    </row>
    <row r="24" spans="2:8" ht="51" x14ac:dyDescent="0.25">
      <c r="B24" s="48" t="s">
        <v>226</v>
      </c>
      <c r="C24" s="48" t="s">
        <v>227</v>
      </c>
    </row>
    <row r="25" spans="2:8" ht="38.25" x14ac:dyDescent="0.25">
      <c r="B25" s="46" t="s">
        <v>228</v>
      </c>
      <c r="C25" s="46" t="s">
        <v>229</v>
      </c>
    </row>
    <row r="27" spans="2:8" ht="30" customHeight="1" x14ac:dyDescent="0.25">
      <c r="B27" s="9" t="s">
        <v>230</v>
      </c>
    </row>
  </sheetData>
  <hyperlinks>
    <hyperlink ref="B3" location="'Indice'!A1" display="◀ Volver al índice" xr:uid="{00000000-0004-0000-0500-000000000000}"/>
  </hyperlink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F6FD0"/>
  </sheetPr>
  <dimension ref="A1:H25"/>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231</v>
      </c>
      <c r="C1" s="2"/>
      <c r="D1" s="2"/>
      <c r="E1" s="2"/>
      <c r="F1" s="2"/>
      <c r="G1" s="2"/>
      <c r="H1" s="2"/>
    </row>
    <row r="2" spans="1:8" x14ac:dyDescent="0.25">
      <c r="B2" s="3" t="s">
        <v>30</v>
      </c>
    </row>
    <row r="3" spans="1:8" x14ac:dyDescent="0.25">
      <c r="B3" s="37" t="s">
        <v>124</v>
      </c>
      <c r="E3" s="38" t="s">
        <v>232</v>
      </c>
    </row>
    <row r="4" spans="1:8" x14ac:dyDescent="0.25">
      <c r="B4" s="39" t="s">
        <v>126</v>
      </c>
    </row>
    <row r="6" spans="1:8" x14ac:dyDescent="0.25">
      <c r="B6" s="41" t="s">
        <v>155</v>
      </c>
      <c r="C6" s="43">
        <v>0.25</v>
      </c>
    </row>
    <row r="7" spans="1:8" x14ac:dyDescent="0.25">
      <c r="B7" s="41" t="s">
        <v>233</v>
      </c>
      <c r="C7" s="43">
        <v>0.08</v>
      </c>
    </row>
    <row r="8" spans="1:8" x14ac:dyDescent="0.25">
      <c r="B8" s="41" t="s">
        <v>234</v>
      </c>
      <c r="C8" s="43">
        <v>0.2</v>
      </c>
    </row>
    <row r="10" spans="1:8" x14ac:dyDescent="0.25">
      <c r="B10" s="71" t="s">
        <v>235</v>
      </c>
      <c r="C10" s="20"/>
      <c r="D10" s="20"/>
      <c r="E10" s="20"/>
      <c r="F10" s="20"/>
      <c r="G10" s="20"/>
      <c r="H10" s="20"/>
    </row>
    <row r="11" spans="1:8" x14ac:dyDescent="0.25">
      <c r="B11" s="41" t="s">
        <v>236</v>
      </c>
      <c r="C11" s="72">
        <f>IF(C7&gt;=C6,"NO VIABLE",C7/(C6-C7))</f>
        <v>0.4705882352941177</v>
      </c>
    </row>
    <row r="12" spans="1:8" x14ac:dyDescent="0.25">
      <c r="B12" s="41" t="s">
        <v>237</v>
      </c>
      <c r="C12" s="73">
        <f>IF(ISNUMBER(C11),C11-C8,"—")</f>
        <v>0.27058823529411768</v>
      </c>
    </row>
    <row r="14" spans="1:8" ht="30" customHeight="1" x14ac:dyDescent="0.25">
      <c r="B14" s="54" t="str">
        <f>IF(C7&gt;=C6,"NO VIABLE: el descuento iguala o supera el margen — cada unidad vendida pierde plata (B10).",IF(C8&gt;=C11,"El volumen ofrecido alcanza. Ciérrelo POR ESCRITO, con verificación y consecuencia (C1, C2).","NO alcanza: pida el volumen del piso, baje el descuento o cambie de moneda — exhibición, surtido, plazo corto."))</f>
        <v>NO alcanza: pida el volumen del piso, baje el descuento o cambie de moneda — exhibición, surtido, plazo corto.</v>
      </c>
      <c r="C14" s="55"/>
      <c r="D14" s="55"/>
      <c r="E14" s="55"/>
      <c r="F14" s="55"/>
      <c r="G14" s="55"/>
      <c r="H14" s="55"/>
    </row>
    <row r="16" spans="1:8" x14ac:dyDescent="0.25">
      <c r="B16" s="71" t="s">
        <v>238</v>
      </c>
      <c r="C16" s="20"/>
      <c r="D16" s="20"/>
      <c r="E16" s="20"/>
      <c r="F16" s="20"/>
      <c r="G16" s="20"/>
      <c r="H16" s="20"/>
    </row>
    <row r="17" spans="2:3" x14ac:dyDescent="0.25">
      <c r="B17" s="41" t="s">
        <v>239</v>
      </c>
      <c r="C17" s="6">
        <v>100</v>
      </c>
    </row>
    <row r="18" spans="2:3" x14ac:dyDescent="0.25">
      <c r="B18" s="41" t="s">
        <v>163</v>
      </c>
      <c r="C18" s="42">
        <v>38000</v>
      </c>
    </row>
    <row r="19" spans="2:3" x14ac:dyDescent="0.25">
      <c r="B19" s="41" t="s">
        <v>162</v>
      </c>
      <c r="C19" s="42">
        <v>28500</v>
      </c>
    </row>
    <row r="20" spans="2:3" x14ac:dyDescent="0.25">
      <c r="B20" s="41" t="s">
        <v>240</v>
      </c>
      <c r="C20" s="52">
        <f>C17*(C18-C19)</f>
        <v>950000</v>
      </c>
    </row>
    <row r="21" spans="2:3" x14ac:dyDescent="0.25">
      <c r="B21" s="41" t="s">
        <v>241</v>
      </c>
      <c r="C21" s="52">
        <f>C18*(1-C7)</f>
        <v>34960</v>
      </c>
    </row>
    <row r="22" spans="2:3" x14ac:dyDescent="0.25">
      <c r="B22" s="41" t="s">
        <v>242</v>
      </c>
      <c r="C22" s="52">
        <f>C18*(1-C7)-C19</f>
        <v>6460</v>
      </c>
    </row>
    <row r="23" spans="2:3" x14ac:dyDescent="0.25">
      <c r="B23" s="41" t="s">
        <v>243</v>
      </c>
      <c r="C23" s="69">
        <f>IF(C22&lt;=0,"—",C20/C22)</f>
        <v>147.05882352941177</v>
      </c>
    </row>
    <row r="25" spans="2:3" ht="33.75" customHeight="1" x14ac:dyDescent="0.25">
      <c r="B25" s="9" t="s">
        <v>244</v>
      </c>
    </row>
  </sheetData>
  <hyperlinks>
    <hyperlink ref="B3" location="'Indice'!A1" display="◀ Volver al índice" xr:uid="{00000000-0004-0000-0600-000000000000}"/>
  </hyperlink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F6FD0"/>
  </sheetPr>
  <dimension ref="A1:H33"/>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245</v>
      </c>
      <c r="C1" s="2"/>
      <c r="D1" s="2"/>
      <c r="E1" s="2"/>
      <c r="F1" s="2"/>
      <c r="G1" s="2"/>
      <c r="H1" s="2"/>
    </row>
    <row r="2" spans="1:8" x14ac:dyDescent="0.25">
      <c r="B2" s="3" t="s">
        <v>246</v>
      </c>
    </row>
    <row r="3" spans="1:8" x14ac:dyDescent="0.25">
      <c r="B3" s="37" t="s">
        <v>124</v>
      </c>
      <c r="E3" s="38" t="s">
        <v>247</v>
      </c>
    </row>
    <row r="4" spans="1:8" x14ac:dyDescent="0.25">
      <c r="B4" s="39" t="s">
        <v>126</v>
      </c>
    </row>
    <row r="6" spans="1:8" x14ac:dyDescent="0.25">
      <c r="B6" s="41" t="s">
        <v>248</v>
      </c>
      <c r="C6" s="6">
        <v>12</v>
      </c>
    </row>
    <row r="7" spans="1:8" x14ac:dyDescent="0.25">
      <c r="B7" s="41" t="s">
        <v>249</v>
      </c>
      <c r="C7" s="6">
        <v>11</v>
      </c>
    </row>
    <row r="8" spans="1:8" x14ac:dyDescent="0.25">
      <c r="B8" s="41" t="s">
        <v>130</v>
      </c>
      <c r="C8" s="43">
        <v>0.25</v>
      </c>
    </row>
    <row r="9" spans="1:8" x14ac:dyDescent="0.25">
      <c r="B9" s="41" t="s">
        <v>163</v>
      </c>
      <c r="C9" s="42">
        <v>38000</v>
      </c>
    </row>
    <row r="10" spans="1:8" x14ac:dyDescent="0.25">
      <c r="B10" s="41" t="s">
        <v>162</v>
      </c>
      <c r="C10" s="42">
        <v>28500</v>
      </c>
    </row>
    <row r="12" spans="1:8" x14ac:dyDescent="0.25">
      <c r="B12" s="71" t="s">
        <v>250</v>
      </c>
      <c r="C12" s="20"/>
      <c r="D12" s="20"/>
      <c r="E12" s="20"/>
      <c r="F12" s="20"/>
      <c r="G12" s="20"/>
      <c r="H12" s="20"/>
    </row>
    <row r="13" spans="1:8" x14ac:dyDescent="0.25">
      <c r="B13" s="41" t="s">
        <v>251</v>
      </c>
      <c r="C13" s="53">
        <f>(C6-C7)/C6</f>
        <v>8.3333333333333329E-2</v>
      </c>
    </row>
    <row r="14" spans="1:8" x14ac:dyDescent="0.25">
      <c r="B14" s="41" t="s">
        <v>252</v>
      </c>
      <c r="C14" s="72">
        <f>IF(C13&gt;=C8,"—",C13/(C8-C13))</f>
        <v>0.49999999999999989</v>
      </c>
    </row>
    <row r="15" spans="1:8" x14ac:dyDescent="0.25">
      <c r="B15" s="41" t="s">
        <v>253</v>
      </c>
      <c r="C15" s="52">
        <f>C7*C9</f>
        <v>418000</v>
      </c>
    </row>
    <row r="16" spans="1:8" x14ac:dyDescent="0.25">
      <c r="B16" s="41" t="s">
        <v>254</v>
      </c>
      <c r="C16" s="52">
        <f>C6*C10</f>
        <v>342000</v>
      </c>
    </row>
    <row r="17" spans="2:8" x14ac:dyDescent="0.25">
      <c r="B17" s="41" t="s">
        <v>255</v>
      </c>
      <c r="C17" s="52">
        <f>C15-C16</f>
        <v>76000</v>
      </c>
    </row>
    <row r="18" spans="2:8" x14ac:dyDescent="0.25">
      <c r="B18" s="41" t="s">
        <v>256</v>
      </c>
      <c r="C18" s="53">
        <f>C17/C15</f>
        <v>0.18181818181818182</v>
      </c>
    </row>
    <row r="19" spans="2:8" x14ac:dyDescent="0.25">
      <c r="B19" s="41" t="s">
        <v>257</v>
      </c>
      <c r="C19" s="69">
        <f>C6*(C9-C10)/(C17/C6)</f>
        <v>18</v>
      </c>
    </row>
    <row r="21" spans="2:8" ht="30" customHeight="1" x14ac:dyDescent="0.25">
      <c r="B21" s="54" t="s">
        <v>258</v>
      </c>
      <c r="C21" s="55"/>
      <c r="D21" s="55"/>
      <c r="E21" s="55"/>
      <c r="F21" s="55"/>
      <c r="G21" s="55"/>
      <c r="H21" s="55"/>
    </row>
    <row r="23" spans="2:8" ht="24" x14ac:dyDescent="0.25">
      <c r="B23" s="45" t="s">
        <v>259</v>
      </c>
      <c r="C23" s="45" t="s">
        <v>251</v>
      </c>
      <c r="D23" s="45" t="s">
        <v>260</v>
      </c>
    </row>
    <row r="24" spans="2:8" x14ac:dyDescent="0.25">
      <c r="B24" s="63">
        <v>6</v>
      </c>
      <c r="C24" s="60">
        <f t="shared" ref="C24:C31" si="0">1/B24</f>
        <v>0.16666666666666666</v>
      </c>
      <c r="D24" s="57">
        <f t="shared" ref="D24:D31" si="1">IF(1/B24&gt;=C$8,"—",(1/B24)/(C$8-1/B24))</f>
        <v>1.9999999999999996</v>
      </c>
    </row>
    <row r="25" spans="2:8" x14ac:dyDescent="0.25">
      <c r="B25" s="63">
        <v>8</v>
      </c>
      <c r="C25" s="60">
        <f t="shared" si="0"/>
        <v>0.125</v>
      </c>
      <c r="D25" s="57">
        <f t="shared" si="1"/>
        <v>1</v>
      </c>
    </row>
    <row r="26" spans="2:8" x14ac:dyDescent="0.25">
      <c r="B26" s="63">
        <v>10</v>
      </c>
      <c r="C26" s="60">
        <f t="shared" si="0"/>
        <v>0.1</v>
      </c>
      <c r="D26" s="57">
        <f t="shared" si="1"/>
        <v>0.66666666666666674</v>
      </c>
    </row>
    <row r="27" spans="2:8" x14ac:dyDescent="0.25">
      <c r="B27" s="63">
        <v>12</v>
      </c>
      <c r="C27" s="60">
        <f t="shared" si="0"/>
        <v>8.3333333333333329E-2</v>
      </c>
      <c r="D27" s="57">
        <f t="shared" si="1"/>
        <v>0.49999999999999989</v>
      </c>
    </row>
    <row r="28" spans="2:8" x14ac:dyDescent="0.25">
      <c r="B28" s="63">
        <v>13</v>
      </c>
      <c r="C28" s="60">
        <f t="shared" si="0"/>
        <v>7.6923076923076927E-2</v>
      </c>
      <c r="D28" s="57">
        <f t="shared" si="1"/>
        <v>0.44444444444444448</v>
      </c>
    </row>
    <row r="29" spans="2:8" x14ac:dyDescent="0.25">
      <c r="B29" s="63">
        <v>15</v>
      </c>
      <c r="C29" s="60">
        <f t="shared" si="0"/>
        <v>6.6666666666666666E-2</v>
      </c>
      <c r="D29" s="57">
        <f t="shared" si="1"/>
        <v>0.36363636363636359</v>
      </c>
    </row>
    <row r="30" spans="2:8" x14ac:dyDescent="0.25">
      <c r="B30" s="63">
        <v>20</v>
      </c>
      <c r="C30" s="60">
        <f t="shared" si="0"/>
        <v>0.05</v>
      </c>
      <c r="D30" s="57">
        <f t="shared" si="1"/>
        <v>0.25</v>
      </c>
    </row>
    <row r="31" spans="2:8" x14ac:dyDescent="0.25">
      <c r="B31" s="63">
        <v>24</v>
      </c>
      <c r="C31" s="60">
        <f t="shared" si="0"/>
        <v>4.1666666666666664E-2</v>
      </c>
      <c r="D31" s="57">
        <f t="shared" si="1"/>
        <v>0.19999999999999998</v>
      </c>
    </row>
    <row r="33" spans="2:2" ht="25.5" customHeight="1" x14ac:dyDescent="0.25">
      <c r="B33" s="9" t="s">
        <v>261</v>
      </c>
    </row>
  </sheetData>
  <hyperlinks>
    <hyperlink ref="B3" location="'Indice'!A1" display="◀ Volver al índice" xr:uid="{00000000-0004-0000-0700-000000000000}"/>
  </hyperlink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F6FD0"/>
  </sheetPr>
  <dimension ref="A1:H30"/>
  <sheetViews>
    <sheetView showGridLines="0" zoomScaleNormal="100" workbookViewId="0"/>
  </sheetViews>
  <sheetFormatPr baseColWidth="10" defaultColWidth="8.7109375" defaultRowHeight="15" x14ac:dyDescent="0.25"/>
  <cols>
    <col min="1" max="1" width="2.42578125" customWidth="1"/>
    <col min="2" max="2" width="37" customWidth="1"/>
    <col min="3" max="8" width="14" customWidth="1"/>
  </cols>
  <sheetData>
    <row r="1" spans="1:8" ht="27" customHeight="1" x14ac:dyDescent="0.25">
      <c r="A1" s="70"/>
      <c r="B1" s="36" t="s">
        <v>262</v>
      </c>
      <c r="C1" s="2"/>
      <c r="D1" s="2"/>
      <c r="E1" s="2"/>
      <c r="F1" s="2"/>
      <c r="G1" s="2"/>
      <c r="H1" s="2"/>
    </row>
    <row r="2" spans="1:8" x14ac:dyDescent="0.25">
      <c r="B2" s="3" t="s">
        <v>263</v>
      </c>
    </row>
    <row r="3" spans="1:8" x14ac:dyDescent="0.25">
      <c r="B3" s="37" t="s">
        <v>124</v>
      </c>
      <c r="E3" s="38" t="s">
        <v>264</v>
      </c>
    </row>
    <row r="4" spans="1:8" x14ac:dyDescent="0.25">
      <c r="B4" s="39" t="s">
        <v>126</v>
      </c>
    </row>
    <row r="6" spans="1:8" x14ac:dyDescent="0.25">
      <c r="B6" s="41" t="s">
        <v>265</v>
      </c>
      <c r="C6" s="43">
        <v>0.03</v>
      </c>
    </row>
    <row r="7" spans="1:8" x14ac:dyDescent="0.25">
      <c r="B7" s="41" t="s">
        <v>130</v>
      </c>
      <c r="C7" s="43">
        <v>0.25</v>
      </c>
    </row>
    <row r="8" spans="1:8" x14ac:dyDescent="0.25">
      <c r="B8" s="41" t="s">
        <v>266</v>
      </c>
      <c r="C8" s="6">
        <v>1000</v>
      </c>
    </row>
    <row r="9" spans="1:8" x14ac:dyDescent="0.25">
      <c r="B9" s="41" t="s">
        <v>267</v>
      </c>
      <c r="C9" s="6">
        <v>1150</v>
      </c>
    </row>
    <row r="10" spans="1:8" x14ac:dyDescent="0.25">
      <c r="B10" s="41" t="s">
        <v>129</v>
      </c>
      <c r="C10" s="42">
        <v>456000</v>
      </c>
    </row>
    <row r="11" spans="1:8" x14ac:dyDescent="0.25">
      <c r="B11" s="41" t="s">
        <v>268</v>
      </c>
      <c r="C11" s="42">
        <v>114000</v>
      </c>
    </row>
    <row r="13" spans="1:8" x14ac:dyDescent="0.25">
      <c r="B13" s="71" t="s">
        <v>269</v>
      </c>
      <c r="C13" s="20"/>
      <c r="D13" s="20"/>
      <c r="E13" s="20"/>
      <c r="F13" s="20"/>
      <c r="G13" s="20"/>
      <c r="H13" s="20"/>
    </row>
    <row r="14" spans="1:8" ht="25.5" x14ac:dyDescent="0.25">
      <c r="B14" s="41" t="s">
        <v>270</v>
      </c>
      <c r="C14" s="72">
        <f>IF(C6&gt;=C7,"—",C6/(C7-C6))</f>
        <v>0.13636363636363635</v>
      </c>
    </row>
    <row r="15" spans="1:8" x14ac:dyDescent="0.25">
      <c r="B15" s="41" t="s">
        <v>271</v>
      </c>
      <c r="C15" s="73">
        <f>C9/C8-1</f>
        <v>0.14999999999999991</v>
      </c>
    </row>
    <row r="16" spans="1:8" x14ac:dyDescent="0.25">
      <c r="B16" s="41" t="s">
        <v>272</v>
      </c>
      <c r="C16" s="52">
        <f>C9*C11</f>
        <v>131100000</v>
      </c>
    </row>
    <row r="17" spans="2:8" x14ac:dyDescent="0.25">
      <c r="B17" s="41" t="s">
        <v>273</v>
      </c>
      <c r="C17" s="64">
        <f>C9*C10*C6</f>
        <v>15732000</v>
      </c>
    </row>
    <row r="18" spans="2:8" x14ac:dyDescent="0.25">
      <c r="B18" s="41" t="s">
        <v>274</v>
      </c>
      <c r="C18" s="50">
        <f>(C9-C8)*C10*C6</f>
        <v>2052000</v>
      </c>
    </row>
    <row r="19" spans="2:8" ht="25.5" x14ac:dyDescent="0.25">
      <c r="B19" s="41" t="s">
        <v>275</v>
      </c>
      <c r="C19" s="64">
        <f>C16-C17-C8*C11</f>
        <v>1368000</v>
      </c>
    </row>
    <row r="20" spans="2:8" x14ac:dyDescent="0.25">
      <c r="B20" s="41" t="s">
        <v>276</v>
      </c>
      <c r="C20" s="50">
        <f>C17-C18</f>
        <v>13680000</v>
      </c>
    </row>
    <row r="22" spans="2:8" ht="30" customHeight="1" x14ac:dyDescent="0.25">
      <c r="B22" s="54" t="s">
        <v>277</v>
      </c>
      <c r="C22" s="55"/>
      <c r="D22" s="55"/>
      <c r="E22" s="55"/>
      <c r="F22" s="55"/>
      <c r="G22" s="55"/>
      <c r="H22" s="55"/>
    </row>
    <row r="24" spans="2:8" ht="36" x14ac:dyDescent="0.25">
      <c r="B24" s="45" t="s">
        <v>278</v>
      </c>
      <c r="C24" s="45" t="s">
        <v>279</v>
      </c>
    </row>
    <row r="25" spans="2:8" x14ac:dyDescent="0.25">
      <c r="B25" s="56">
        <v>0.01</v>
      </c>
      <c r="C25" s="57">
        <f t="shared" ref="C25:C30" si="0">IF(B25&gt;=C$7,"—",B25/(C$7-B25))</f>
        <v>4.1666666666666671E-2</v>
      </c>
    </row>
    <row r="26" spans="2:8" x14ac:dyDescent="0.25">
      <c r="B26" s="56">
        <v>0.02</v>
      </c>
      <c r="C26" s="57">
        <f t="shared" si="0"/>
        <v>8.6956521739130432E-2</v>
      </c>
    </row>
    <row r="27" spans="2:8" x14ac:dyDescent="0.25">
      <c r="B27" s="56">
        <v>0.03</v>
      </c>
      <c r="C27" s="57">
        <f t="shared" si="0"/>
        <v>0.13636363636363635</v>
      </c>
    </row>
    <row r="28" spans="2:8" x14ac:dyDescent="0.25">
      <c r="B28" s="56">
        <v>0.04</v>
      </c>
      <c r="C28" s="57">
        <f t="shared" si="0"/>
        <v>0.19047619047619049</v>
      </c>
    </row>
    <row r="29" spans="2:8" x14ac:dyDescent="0.25">
      <c r="B29" s="56">
        <v>0.05</v>
      </c>
      <c r="C29" s="57">
        <f t="shared" si="0"/>
        <v>0.25</v>
      </c>
    </row>
    <row r="30" spans="2:8" x14ac:dyDescent="0.25">
      <c r="B30" s="56">
        <v>0.06</v>
      </c>
      <c r="C30" s="57">
        <f t="shared" si="0"/>
        <v>0.31578947368421051</v>
      </c>
    </row>
  </sheetData>
  <hyperlinks>
    <hyperlink ref="B3" location="'Indice'!A1" display="◀ Volver al índice" xr:uid="{00000000-0004-0000-0800-000000000000}"/>
  </hyperlink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Indice</vt:lpstr>
      <vt:lpstr>A1 Cuenta</vt:lpstr>
      <vt:lpstr>A2 Piso</vt:lpstr>
      <vt:lpstr>A3 Peticiones</vt:lpstr>
      <vt:lpstr>A4 Checklist</vt:lpstr>
      <vt:lpstr>A5 Cliente nuevo</vt:lpstr>
      <vt:lpstr>B1 Descuento</vt:lpstr>
      <vt:lpstr>B2 Bonificacion</vt:lpstr>
      <vt:lpstr>B3 Rappel</vt:lpstr>
      <vt:lpstr>B4 Plazo</vt:lpstr>
      <vt:lpstr>B5 Pronto pago</vt:lpstr>
      <vt:lpstr>B6 Paquete</vt:lpstr>
      <vt:lpstr>B7 Competencia</vt:lpstr>
      <vt:lpstr>B8 Discounter</vt:lpstr>
      <vt:lpstr>B9 Presion</vt:lpstr>
      <vt:lpstr>B10 Lineas rojas</vt:lpstr>
      <vt:lpstr>B11 Cobranza</vt:lpstr>
      <vt:lpstr>B12 Promocion</vt:lpstr>
      <vt:lpstr>B13 Surtido</vt:lpstr>
      <vt:lpstr>B14 Reclamos</vt:lpstr>
      <vt:lpstr>B15 Metodo</vt:lpstr>
      <vt:lpstr>C1 Por escrito</vt:lpstr>
      <vt:lpstr>C2 Verificacion</vt:lpstr>
      <vt:lpstr>C3 Alarmas</vt:lpstr>
      <vt:lpstr>C4 Cartera</vt:lpstr>
      <vt:lpstr>C5 Trimestral</vt:lpstr>
      <vt:lpstr>C6 Riesgo</vt:lpstr>
      <vt:lpstr>D1 Tabla maestra</vt:lpstr>
      <vt:lpstr>D2 Formulas</vt:lpstr>
      <vt:lpstr>D3 Mercado</vt:lpstr>
      <vt:lpstr>D4 Cadena</vt:lpstr>
      <vt:lpstr>D5 Marco</vt:lpstr>
      <vt:lpstr>D6 Impuestos</vt:lpstr>
      <vt:lpstr>D7 Autorizacion</vt:lpstr>
      <vt:lpstr>D8 On-trade</vt:lpstr>
      <vt:lpstr>D9 ROI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Jhon Alexander Jimenez Triviño</cp:lastModifiedBy>
  <cp:revision>0</cp:revision>
  <dcterms:created xsi:type="dcterms:W3CDTF">2026-07-29T03:20:38Z</dcterms:created>
  <dcterms:modified xsi:type="dcterms:W3CDTF">2026-07-29T03:23:47Z</dcterms:modified>
  <dc:language>en-US</dc:language>
</cp:coreProperties>
</file>